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7965"/>
  </bookViews>
  <sheets>
    <sheet name="Sheet1" sheetId="1" r:id="rId1"/>
    <sheet name="ref" sheetId="2" r:id="rId2"/>
    <sheet name="temp" sheetId="4" r:id="rId3"/>
    <sheet name="dif" sheetId="5" r:id="rId4"/>
  </sheets>
  <calcPr calcId="162913"/>
  <customWorkbookViews>
    <customWorkbookView name="linhai liu - 个人视图" guid="{173361F4-9548-4F82-9CDA-4AC7CCF17BA4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46" i="4"/>
  <c r="T45" i="4"/>
  <c r="S45" i="4"/>
  <c r="R45" i="4"/>
  <c r="Q45" i="4"/>
  <c r="T44" i="4"/>
  <c r="S44" i="4"/>
  <c r="R44" i="4"/>
  <c r="Q44" i="4"/>
  <c r="T43" i="4"/>
  <c r="S43" i="4"/>
  <c r="R43" i="4"/>
  <c r="Q43" i="4"/>
  <c r="T42" i="4"/>
  <c r="S42" i="4"/>
  <c r="R42" i="4"/>
  <c r="Q42" i="4"/>
  <c r="T41" i="4"/>
  <c r="S41" i="4"/>
  <c r="R41" i="4"/>
  <c r="Q41" i="4"/>
  <c r="T40" i="4"/>
  <c r="S40" i="4"/>
  <c r="R40" i="4"/>
  <c r="Q40" i="4"/>
  <c r="T39" i="4"/>
  <c r="S39" i="4"/>
  <c r="R39" i="4"/>
  <c r="Q39" i="4"/>
  <c r="T38" i="4"/>
  <c r="S38" i="4"/>
  <c r="R38" i="4"/>
  <c r="Q38" i="4"/>
  <c r="T37" i="4"/>
  <c r="S37" i="4"/>
  <c r="R37" i="4"/>
  <c r="Q37" i="4"/>
  <c r="T36" i="4"/>
  <c r="S36" i="4"/>
  <c r="R36" i="4"/>
  <c r="Q36" i="4"/>
  <c r="T35" i="4"/>
  <c r="S35" i="4"/>
  <c r="R35" i="4"/>
  <c r="Q35" i="4"/>
  <c r="T34" i="4"/>
  <c r="S34" i="4"/>
  <c r="R34" i="4"/>
  <c r="Q34" i="4"/>
  <c r="T33" i="4"/>
  <c r="S33" i="4"/>
  <c r="R33" i="4"/>
  <c r="Q33" i="4"/>
  <c r="T32" i="4"/>
  <c r="S32" i="4"/>
  <c r="R32" i="4"/>
  <c r="Q32" i="4"/>
  <c r="T31" i="4"/>
  <c r="S31" i="4"/>
  <c r="R31" i="4"/>
  <c r="Q31" i="4"/>
  <c r="T30" i="4"/>
  <c r="S30" i="4"/>
  <c r="R30" i="4"/>
  <c r="Q30" i="4"/>
  <c r="T29" i="4"/>
  <c r="S29" i="4"/>
  <c r="R29" i="4"/>
  <c r="Q29" i="4"/>
  <c r="T28" i="4"/>
  <c r="S28" i="4"/>
  <c r="R28" i="4"/>
  <c r="Q28" i="4"/>
  <c r="T27" i="4"/>
  <c r="S27" i="4"/>
  <c r="R27" i="4"/>
  <c r="Q27" i="4"/>
  <c r="T26" i="4"/>
  <c r="S26" i="4"/>
  <c r="R26" i="4"/>
  <c r="Q26" i="4"/>
  <c r="T25" i="4"/>
  <c r="S25" i="4"/>
  <c r="R25" i="4"/>
  <c r="Q25" i="4"/>
  <c r="T24" i="4"/>
  <c r="S24" i="4"/>
  <c r="R24" i="4"/>
  <c r="Q24" i="4"/>
  <c r="T23" i="4"/>
  <c r="S23" i="4"/>
  <c r="R23" i="4"/>
  <c r="Q23" i="4"/>
  <c r="T22" i="4"/>
  <c r="S22" i="4"/>
  <c r="R22" i="4"/>
  <c r="Q22" i="4"/>
  <c r="T21" i="4"/>
  <c r="S21" i="4"/>
  <c r="R21" i="4"/>
  <c r="Q21" i="4"/>
  <c r="T20" i="4"/>
  <c r="S20" i="4"/>
  <c r="R20" i="4"/>
  <c r="Q20" i="4"/>
  <c r="T19" i="4"/>
  <c r="S19" i="4"/>
  <c r="R19" i="4"/>
  <c r="Q19" i="4"/>
  <c r="T18" i="4"/>
  <c r="S18" i="4"/>
  <c r="R18" i="4"/>
  <c r="Q18" i="4"/>
  <c r="T17" i="4"/>
  <c r="S17" i="4"/>
  <c r="R17" i="4"/>
  <c r="Q17" i="4"/>
  <c r="T16" i="4"/>
  <c r="S16" i="4"/>
  <c r="R16" i="4"/>
  <c r="Q16" i="4"/>
  <c r="T15" i="4"/>
  <c r="S15" i="4"/>
  <c r="R15" i="4"/>
  <c r="Q15" i="4"/>
  <c r="T14" i="4"/>
  <c r="S14" i="4"/>
  <c r="R14" i="4"/>
  <c r="Q14" i="4"/>
  <c r="T13" i="4"/>
  <c r="S13" i="4"/>
  <c r="R13" i="4"/>
  <c r="Q13" i="4"/>
  <c r="T12" i="4"/>
  <c r="S12" i="4"/>
  <c r="R12" i="4"/>
  <c r="Q12" i="4"/>
  <c r="T11" i="4"/>
  <c r="S11" i="4"/>
  <c r="R11" i="4"/>
  <c r="Q11" i="4"/>
  <c r="T10" i="4"/>
  <c r="S10" i="4"/>
  <c r="R10" i="4"/>
  <c r="Q10" i="4"/>
  <c r="T9" i="4"/>
  <c r="S9" i="4"/>
  <c r="R9" i="4"/>
  <c r="Q9" i="4"/>
  <c r="T8" i="4"/>
  <c r="S8" i="4"/>
  <c r="R8" i="4"/>
  <c r="Q8" i="4"/>
  <c r="T7" i="4"/>
  <c r="S7" i="4"/>
  <c r="R7" i="4"/>
  <c r="Q7" i="4"/>
  <c r="S28" i="5" l="1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5" i="5"/>
  <c r="S15" i="5"/>
  <c r="T15" i="5"/>
  <c r="R16" i="5"/>
  <c r="S16" i="5"/>
  <c r="T16" i="5"/>
  <c r="R17" i="5"/>
  <c r="S17" i="5"/>
  <c r="T17" i="5"/>
  <c r="R18" i="5"/>
  <c r="S18" i="5"/>
  <c r="T18" i="5"/>
  <c r="R19" i="5"/>
  <c r="S19" i="5"/>
  <c r="T19" i="5"/>
  <c r="R20" i="5"/>
  <c r="S20" i="5"/>
  <c r="T20" i="5"/>
  <c r="R21" i="5"/>
  <c r="S21" i="5"/>
  <c r="T21" i="5"/>
  <c r="R22" i="5"/>
  <c r="S22" i="5"/>
  <c r="T22" i="5"/>
  <c r="R23" i="5"/>
  <c r="S23" i="5"/>
  <c r="T23" i="5"/>
  <c r="R24" i="5"/>
  <c r="S24" i="5"/>
  <c r="T24" i="5"/>
  <c r="R25" i="5"/>
  <c r="S25" i="5"/>
  <c r="T25" i="5"/>
  <c r="R26" i="5"/>
  <c r="S26" i="5"/>
  <c r="T26" i="5"/>
  <c r="R27" i="5"/>
  <c r="S27" i="5"/>
  <c r="T27" i="5"/>
  <c r="R28" i="5"/>
  <c r="T28" i="5"/>
  <c r="R29" i="5"/>
  <c r="S29" i="5"/>
  <c r="T29" i="5"/>
  <c r="R30" i="5"/>
  <c r="S30" i="5"/>
  <c r="T30" i="5"/>
  <c r="R31" i="5"/>
  <c r="S31" i="5"/>
  <c r="T31" i="5"/>
  <c r="R32" i="5"/>
  <c r="S32" i="5"/>
  <c r="T32" i="5"/>
  <c r="R33" i="5"/>
  <c r="S33" i="5"/>
  <c r="T33" i="5"/>
  <c r="R34" i="5"/>
  <c r="S34" i="5"/>
  <c r="T34" i="5"/>
  <c r="R35" i="5"/>
  <c r="S35" i="5"/>
  <c r="T35" i="5"/>
  <c r="R36" i="5"/>
  <c r="S36" i="5"/>
  <c r="T36" i="5"/>
  <c r="R37" i="5"/>
  <c r="S37" i="5"/>
  <c r="T37" i="5"/>
  <c r="R38" i="5"/>
  <c r="S38" i="5"/>
  <c r="T38" i="5"/>
  <c r="R39" i="5"/>
  <c r="S39" i="5"/>
  <c r="T39" i="5"/>
  <c r="R40" i="5"/>
  <c r="S40" i="5"/>
  <c r="T40" i="5"/>
  <c r="R41" i="5"/>
  <c r="S41" i="5"/>
  <c r="T41" i="5"/>
  <c r="R42" i="5"/>
  <c r="S42" i="5"/>
  <c r="T42" i="5"/>
  <c r="R43" i="5"/>
  <c r="S43" i="5"/>
  <c r="T43" i="5"/>
  <c r="R44" i="5"/>
  <c r="S44" i="5"/>
  <c r="T44" i="5"/>
  <c r="R45" i="5"/>
  <c r="S45" i="5"/>
  <c r="T45" i="5"/>
  <c r="R46" i="5"/>
  <c r="S46" i="5"/>
  <c r="T46" i="5"/>
  <c r="R47" i="5"/>
  <c r="S47" i="5"/>
  <c r="T47" i="5"/>
  <c r="R48" i="5"/>
  <c r="S48" i="5"/>
  <c r="T48" i="5"/>
  <c r="R49" i="5"/>
  <c r="S49" i="5"/>
  <c r="T49" i="5"/>
  <c r="R50" i="5"/>
  <c r="S50" i="5"/>
  <c r="T50" i="5"/>
  <c r="R51" i="5"/>
  <c r="S51" i="5"/>
  <c r="T51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16" i="5"/>
  <c r="Q10" i="5"/>
  <c r="Q11" i="5"/>
  <c r="Q12" i="5"/>
  <c r="Q13" i="5"/>
  <c r="Q14" i="5"/>
  <c r="Q15" i="5"/>
  <c r="Q8" i="5" l="1"/>
  <c r="Q9" i="5"/>
  <c r="Q52" i="5"/>
  <c r="R52" i="5"/>
  <c r="S52" i="5"/>
  <c r="T52" i="5"/>
  <c r="Q53" i="5"/>
  <c r="R53" i="5"/>
  <c r="S53" i="5"/>
  <c r="T53" i="5"/>
  <c r="Q7" i="5"/>
  <c r="B8" i="5" l="1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U8" i="5"/>
  <c r="V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U9" i="5"/>
  <c r="V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U10" i="5"/>
  <c r="V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U11" i="5"/>
  <c r="V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U12" i="5"/>
  <c r="V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U13" i="5"/>
  <c r="V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U14" i="5"/>
  <c r="V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U15" i="5"/>
  <c r="V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U16" i="5"/>
  <c r="V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U17" i="5"/>
  <c r="V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U18" i="5"/>
  <c r="V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U19" i="5"/>
  <c r="V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U20" i="5"/>
  <c r="V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U21" i="5"/>
  <c r="V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U22" i="5"/>
  <c r="V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U23" i="5"/>
  <c r="V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U24" i="5"/>
  <c r="V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U25" i="5"/>
  <c r="V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U26" i="5"/>
  <c r="V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U27" i="5"/>
  <c r="V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U28" i="5"/>
  <c r="V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U29" i="5"/>
  <c r="V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U30" i="5"/>
  <c r="V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U31" i="5"/>
  <c r="V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U32" i="5"/>
  <c r="V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U33" i="5"/>
  <c r="V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U34" i="5"/>
  <c r="V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U35" i="5"/>
  <c r="V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U36" i="5"/>
  <c r="V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U37" i="5"/>
  <c r="V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U38" i="5"/>
  <c r="V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U39" i="5"/>
  <c r="V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U40" i="5"/>
  <c r="V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U41" i="5"/>
  <c r="V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U42" i="5"/>
  <c r="V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U43" i="5"/>
  <c r="V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U44" i="5"/>
  <c r="V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U45" i="5"/>
  <c r="V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U46" i="5"/>
  <c r="V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U47" i="5"/>
  <c r="V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U48" i="5"/>
  <c r="V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U49" i="5"/>
  <c r="V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U50" i="5"/>
  <c r="V50" i="5"/>
  <c r="B7" i="5"/>
  <c r="C7" i="5"/>
  <c r="D7" i="5"/>
  <c r="E7" i="5"/>
  <c r="F7" i="5"/>
  <c r="G7" i="5"/>
  <c r="H7" i="5"/>
  <c r="I7" i="5"/>
  <c r="K7" i="5"/>
  <c r="L7" i="5"/>
  <c r="M7" i="5"/>
  <c r="N7" i="5"/>
  <c r="O7" i="5"/>
  <c r="P7" i="5"/>
  <c r="U7" i="5"/>
  <c r="V7" i="5"/>
  <c r="J7" i="5"/>
</calcChain>
</file>

<file path=xl/sharedStrings.xml><?xml version="1.0" encoding="utf-8"?>
<sst xmlns="http://schemas.openxmlformats.org/spreadsheetml/2006/main" count="148" uniqueCount="72">
  <si>
    <t>Y方向最小刚度比:</t>
  </si>
  <si>
    <t>限值1</t>
    <phoneticPr fontId="1" type="noConversion"/>
  </si>
  <si>
    <t>限值0.8</t>
    <phoneticPr fontId="1" type="noConversion"/>
  </si>
  <si>
    <t>1.位移比</t>
    <phoneticPr fontId="1" type="noConversion"/>
  </si>
  <si>
    <t>2.周期比</t>
    <phoneticPr fontId="1" type="noConversion"/>
  </si>
  <si>
    <t>3.刚度比</t>
    <phoneticPr fontId="1" type="noConversion"/>
  </si>
  <si>
    <t>4.受剪承载力比</t>
    <phoneticPr fontId="1" type="noConversion"/>
  </si>
  <si>
    <t>6.刚重比</t>
    <phoneticPr fontId="1" type="noConversion"/>
  </si>
  <si>
    <t>7.剪重比</t>
    <phoneticPr fontId="1" type="noConversion"/>
  </si>
  <si>
    <t>8.轴压比</t>
    <phoneticPr fontId="1" type="noConversion"/>
  </si>
  <si>
    <t>9.质量比</t>
    <phoneticPr fontId="1" type="noConversion"/>
  </si>
  <si>
    <t>自
行
查
校</t>
    <phoneticPr fontId="1" type="noConversion"/>
  </si>
  <si>
    <t>5.位移角</t>
    <phoneticPr fontId="1" type="noConversion"/>
  </si>
  <si>
    <r>
      <rPr>
        <sz val="18"/>
        <color theme="1"/>
        <rFont val="等线"/>
        <family val="3"/>
        <charset val="134"/>
        <scheme val="minor"/>
      </rPr>
      <t>YJK</t>
    </r>
    <r>
      <rPr>
        <sz val="18"/>
        <color theme="1"/>
        <rFont val="等线"/>
        <family val="2"/>
        <charset val="134"/>
        <scheme val="minor"/>
      </rPr>
      <t xml:space="preserve">结构整体参数速校表 — </t>
    </r>
    <r>
      <rPr>
        <sz val="12"/>
        <color theme="1"/>
        <rFont val="等线"/>
        <family val="3"/>
        <charset val="134"/>
        <scheme val="minor"/>
      </rPr>
      <t>design by 林霄云 2018.3.31</t>
    </r>
    <phoneticPr fontId="1" type="noConversion"/>
  </si>
  <si>
    <t>层号</t>
  </si>
  <si>
    <t>层高(m)</t>
  </si>
  <si>
    <t>单位面积质量</t>
  </si>
  <si>
    <t>g[i]</t>
  </si>
  <si>
    <t>Ratx1=</t>
  </si>
  <si>
    <t>Raty1=</t>
  </si>
  <si>
    <t>Ratx2=</t>
  </si>
  <si>
    <t>Raty2=</t>
  </si>
  <si>
    <t>X方向最小刚度比:</t>
  </si>
  <si>
    <t>该结构刚重比EJd/GH**2大于1.4，能够通过《高规》5.4.4条的整体稳定验算</t>
  </si>
  <si>
    <t>该结构刚重比EJd/GH**2大于2.7，满足《高规》5.4.1，可以不考虑重力二阶效应</t>
  </si>
  <si>
    <t>Ratio_X</t>
  </si>
  <si>
    <t>Ratio_Y</t>
  </si>
  <si>
    <t>周期</t>
  </si>
  <si>
    <t>平动系数(X+Y)</t>
  </si>
  <si>
    <t>X向平动振型参与质量系数总计:</t>
  </si>
  <si>
    <t>Y向平动振型参与质量系数总计:</t>
  </si>
  <si>
    <t>X 向剪重比</t>
  </si>
  <si>
    <t>Y 向剪重比</t>
  </si>
  <si>
    <t>X方向地震层间位移角</t>
  </si>
  <si>
    <t>+X 方向风荷载层间位移角</t>
  </si>
  <si>
    <t>+Y 方向风荷载层间位移角</t>
  </si>
  <si>
    <t>Y方向地震层间位移角</t>
  </si>
  <si>
    <t>X方向位移比</t>
  </si>
  <si>
    <t>Y方向位移比</t>
  </si>
  <si>
    <t>Y向楼层最小剪重比</t>
  </si>
  <si>
    <t>X向楼层最小剪重比</t>
  </si>
  <si>
    <t>wmass.out</t>
    <phoneticPr fontId="1" type="noConversion"/>
  </si>
  <si>
    <t>X向刚重比 EJd/GH**2= 3.269</t>
  </si>
  <si>
    <t>X方向位移比</t>
    <phoneticPr fontId="1" type="noConversion"/>
  </si>
  <si>
    <t>Y方向位移比</t>
    <phoneticPr fontId="1" type="noConversion"/>
  </si>
  <si>
    <t>说明：
点击生成按钮，将自动更新非填充区数据，及简易图表，以便于快速查阅。切换目录仅需删除B1单元格数据，注意不要修改工作表名</t>
    <phoneticPr fontId="1" type="noConversion"/>
  </si>
  <si>
    <t>注：
保存至temp工作表，可以在dif工作表中查看变化</t>
    <phoneticPr fontId="1" type="noConversion"/>
  </si>
  <si>
    <t>说明：
点击生成按钮，将自动更新非填充区数据，及简易图表，以便于快速查阅。切换目录仅需删除B1单元格数据，注意不要修改工作表名，保存至temp工作表，可以在dif工作表中查看变化</t>
    <phoneticPr fontId="1" type="noConversion"/>
  </si>
  <si>
    <t>1.0000(3层1塔)</t>
  </si>
  <si>
    <t>1.00(0.00+1.00)</t>
  </si>
  <si>
    <t>注：位移角差值为分母的变化值</t>
    <phoneticPr fontId="1" type="noConversion"/>
  </si>
  <si>
    <t>抗震规范(5.2.5)条要求的Y向楼层最小剪重比 = 1.60</t>
    <phoneticPr fontId="1" type="noConversion"/>
  </si>
  <si>
    <t>0.91(0.91+0.00)</t>
  </si>
  <si>
    <t>0.09(0.09+0.00)</t>
  </si>
  <si>
    <t>0.88(0.88+0.00)</t>
  </si>
  <si>
    <t xml:space="preserve">  Y向最大层间位移角：  1/751  (39层1塔)</t>
  </si>
  <si>
    <t>D:\N10\5座\5座计算0328-2\5座计算0403 - 减墙加端柱 -加标准层\设计结果</t>
  </si>
  <si>
    <t>X向刚重比 EJd/GH**2= 7.127</t>
  </si>
  <si>
    <t>Y向刚重比 EJd/GH**2= 4.798</t>
  </si>
  <si>
    <t>第1扭转周期(1.3131)/第1平动周期(3.0604)</t>
  </si>
  <si>
    <t xml:space="preserve">  X向最大层间位移角：  1/2161  (15层1塔)</t>
  </si>
  <si>
    <t xml:space="preserve">  Y向最大层间位移角：  1/1373  (39层1塔)</t>
  </si>
  <si>
    <t xml:space="preserve">  X向最大层间位移角：  1/2374  (39层1塔)</t>
  </si>
  <si>
    <t xml:space="preserve">  Y向最大层间位移角：  1/760  (39层1塔)</t>
  </si>
  <si>
    <t>wmass.out</t>
    <phoneticPr fontId="1" type="noConversion"/>
  </si>
  <si>
    <t>X向刚重比 EJd/GH**2= 7.112</t>
  </si>
  <si>
    <t>Y向刚重比 EJd/GH**2= 4.764</t>
  </si>
  <si>
    <t>第1扭转周期(1.3284)/第1平动周期(3.0719)</t>
  </si>
  <si>
    <t xml:space="preserve">  X向最大层间位移角：  1/2164  (15层1塔)</t>
  </si>
  <si>
    <t xml:space="preserve">  Y向最大层间位移角：  1/1360  (39层1塔)</t>
  </si>
  <si>
    <t>D:\N10\5座\5座计算0328-2\5座计算0403 - 减墙加端柱 -加标准层 - lt250\设计结果</t>
    <phoneticPr fontId="1" type="noConversion"/>
  </si>
  <si>
    <t>抗震规范(5.2.5)条要求的X向楼层最小剪重比 = 1.60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</si>
</sst>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?/????"/>
    <numFmt numFmtId="177" formatCode="0.000_ "/>
    <numFmt numFmtId="178" formatCode="#\ ?/?????"/>
    <numFmt numFmtId="179" formatCode="0.0"/>
    <numFmt numFmtId="180" formatCode="0_ 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176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7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0" fontId="0" fillId="0" borderId="2" xfId="1" applyNumberFormat="1" applyFont="1" applyBorder="1">
      <alignment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177" fontId="5" fillId="3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0" fontId="5" fillId="3" borderId="8" xfId="1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单位面积质量</c:v>
          </c:tx>
          <c:marker>
            <c:symbol val="none"/>
          </c:marker>
          <c:xVal>
            <c:numRef>
              <c:f>Sheet1!$D$7:$D$45</c:f>
              <c:numCache>
                <c:formatCode>General</c:formatCode>
                <c:ptCount val="39"/>
                <c:pt idx="0">
                  <c:v>1305.83</c:v>
                </c:pt>
                <c:pt idx="1">
                  <c:v>2173.0300000000002</c:v>
                </c:pt>
                <c:pt idx="2">
                  <c:v>1800.75</c:v>
                </c:pt>
                <c:pt idx="3">
                  <c:v>1800.1</c:v>
                </c:pt>
                <c:pt idx="4">
                  <c:v>1800.1</c:v>
                </c:pt>
                <c:pt idx="5">
                  <c:v>1800.1</c:v>
                </c:pt>
                <c:pt idx="6">
                  <c:v>1800.1</c:v>
                </c:pt>
                <c:pt idx="7">
                  <c:v>1800.1</c:v>
                </c:pt>
                <c:pt idx="8">
                  <c:v>1800.1</c:v>
                </c:pt>
                <c:pt idx="9">
                  <c:v>1683.18</c:v>
                </c:pt>
                <c:pt idx="10">
                  <c:v>1800.75</c:v>
                </c:pt>
                <c:pt idx="11">
                  <c:v>1800.1</c:v>
                </c:pt>
                <c:pt idx="12">
                  <c:v>1800.1</c:v>
                </c:pt>
                <c:pt idx="13">
                  <c:v>1800.1</c:v>
                </c:pt>
                <c:pt idx="14">
                  <c:v>1800.1</c:v>
                </c:pt>
                <c:pt idx="15">
                  <c:v>1800.1</c:v>
                </c:pt>
                <c:pt idx="16">
                  <c:v>1800.1</c:v>
                </c:pt>
                <c:pt idx="17">
                  <c:v>1800.1</c:v>
                </c:pt>
                <c:pt idx="18">
                  <c:v>1800.1</c:v>
                </c:pt>
                <c:pt idx="19">
                  <c:v>1800.1</c:v>
                </c:pt>
                <c:pt idx="20">
                  <c:v>1800.1</c:v>
                </c:pt>
                <c:pt idx="21">
                  <c:v>1800.1</c:v>
                </c:pt>
                <c:pt idx="22">
                  <c:v>1800.1</c:v>
                </c:pt>
                <c:pt idx="23">
                  <c:v>1800.1</c:v>
                </c:pt>
                <c:pt idx="24">
                  <c:v>1683.18</c:v>
                </c:pt>
                <c:pt idx="25">
                  <c:v>1824.03</c:v>
                </c:pt>
                <c:pt idx="26">
                  <c:v>1823.21</c:v>
                </c:pt>
                <c:pt idx="27">
                  <c:v>1823.21</c:v>
                </c:pt>
                <c:pt idx="28">
                  <c:v>1823.21</c:v>
                </c:pt>
                <c:pt idx="29">
                  <c:v>1823.21</c:v>
                </c:pt>
                <c:pt idx="30">
                  <c:v>1823.21</c:v>
                </c:pt>
                <c:pt idx="31">
                  <c:v>1823.21</c:v>
                </c:pt>
                <c:pt idx="32">
                  <c:v>1823.21</c:v>
                </c:pt>
                <c:pt idx="33">
                  <c:v>1823.21</c:v>
                </c:pt>
                <c:pt idx="34">
                  <c:v>1823.21</c:v>
                </c:pt>
                <c:pt idx="35">
                  <c:v>1823.21</c:v>
                </c:pt>
                <c:pt idx="36">
                  <c:v>3090.35</c:v>
                </c:pt>
                <c:pt idx="37">
                  <c:v>2798.82</c:v>
                </c:pt>
                <c:pt idx="38">
                  <c:v>1550.94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67-440F-94DE-F8E02F15E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287119"/>
        <c:axId val="1449280047"/>
      </c:scatterChart>
      <c:valAx>
        <c:axId val="1449287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280047"/>
        <c:crosses val="autoZero"/>
        <c:crossBetween val="midCat"/>
      </c:valAx>
      <c:valAx>
        <c:axId val="144928004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287119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X方向地震层间位移角</c:v>
          </c:tx>
          <c:marker>
            <c:symbol val="none"/>
          </c:marker>
          <c:xVal>
            <c:numRef>
              <c:f>Sheet1!$Q$7:$Q$45</c:f>
              <c:numCache>
                <c:formatCode>#\ ?/????</c:formatCode>
                <c:ptCount val="39"/>
                <c:pt idx="0">
                  <c:v>3.7537537537537537E-4</c:v>
                </c:pt>
                <c:pt idx="1">
                  <c:v>3.6245016310257339E-4</c:v>
                </c:pt>
                <c:pt idx="2">
                  <c:v>3.4722222222222224E-4</c:v>
                </c:pt>
                <c:pt idx="3">
                  <c:v>3.5650623885918003E-4</c:v>
                </c:pt>
                <c:pt idx="4">
                  <c:v>3.677822728944465E-4</c:v>
                </c:pt>
                <c:pt idx="5">
                  <c:v>3.7979491074819596E-4</c:v>
                </c:pt>
                <c:pt idx="6">
                  <c:v>3.9154267815191856E-4</c:v>
                </c:pt>
                <c:pt idx="7">
                  <c:v>4.0257648953301127E-4</c:v>
                </c:pt>
                <c:pt idx="8">
                  <c:v>4.1545492314083921E-4</c:v>
                </c:pt>
                <c:pt idx="9">
                  <c:v>4.2826552462526765E-4</c:v>
                </c:pt>
                <c:pt idx="10">
                  <c:v>4.2936882782310007E-4</c:v>
                </c:pt>
                <c:pt idx="11">
                  <c:v>4.3649061545176777E-4</c:v>
                </c:pt>
                <c:pt idx="12">
                  <c:v>4.4208664898320068E-4</c:v>
                </c:pt>
                <c:pt idx="13">
                  <c:v>4.4662795891022776E-4</c:v>
                </c:pt>
                <c:pt idx="14">
                  <c:v>4.4903457566232598E-4</c:v>
                </c:pt>
                <c:pt idx="15">
                  <c:v>4.5228403437358661E-4</c:v>
                </c:pt>
                <c:pt idx="16">
                  <c:v>4.5516613563950843E-4</c:v>
                </c:pt>
                <c:pt idx="17">
                  <c:v>4.5745654162854531E-4</c:v>
                </c:pt>
                <c:pt idx="18">
                  <c:v>4.5892611289582378E-4</c:v>
                </c:pt>
                <c:pt idx="19">
                  <c:v>4.5871559633027525E-4</c:v>
                </c:pt>
                <c:pt idx="20">
                  <c:v>4.591368227731864E-4</c:v>
                </c:pt>
                <c:pt idx="21">
                  <c:v>4.5934772622875517E-4</c:v>
                </c:pt>
                <c:pt idx="22">
                  <c:v>4.5871559633027525E-4</c:v>
                </c:pt>
                <c:pt idx="23">
                  <c:v>4.6019328117809482E-4</c:v>
                </c:pt>
                <c:pt idx="24">
                  <c:v>4.6274872744099955E-4</c:v>
                </c:pt>
                <c:pt idx="25">
                  <c:v>4.4802867383512545E-4</c:v>
                </c:pt>
                <c:pt idx="26">
                  <c:v>4.4267374944665782E-4</c:v>
                </c:pt>
                <c:pt idx="27">
                  <c:v>4.3535045711797995E-4</c:v>
                </c:pt>
                <c:pt idx="28">
                  <c:v>4.2662116040955632E-4</c:v>
                </c:pt>
                <c:pt idx="29">
                  <c:v>4.1493775933609957E-4</c:v>
                </c:pt>
                <c:pt idx="30">
                  <c:v>4.0257648953301127E-4</c:v>
                </c:pt>
                <c:pt idx="31">
                  <c:v>3.8729666924864449E-4</c:v>
                </c:pt>
                <c:pt idx="32">
                  <c:v>3.6845983787767134E-4</c:v>
                </c:pt>
                <c:pt idx="33">
                  <c:v>3.4458993797381116E-4</c:v>
                </c:pt>
                <c:pt idx="34">
                  <c:v>3.1426775612822125E-4</c:v>
                </c:pt>
                <c:pt idx="35">
                  <c:v>2.6867275658248256E-4</c:v>
                </c:pt>
                <c:pt idx="36">
                  <c:v>1.9142419601837673E-4</c:v>
                </c:pt>
                <c:pt idx="37">
                  <c:v>1.0001000100010001E-4</c:v>
                </c:pt>
                <c:pt idx="38">
                  <c:v>1.0001000100010001E-4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CF-49F5-9679-45751397F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187471"/>
        <c:axId val="1442189551"/>
      </c:scatterChart>
      <c:valAx>
        <c:axId val="1442187471"/>
        <c:scaling>
          <c:orientation val="minMax"/>
        </c:scaling>
        <c:delete val="0"/>
        <c:axPos val="b"/>
        <c:numFmt formatCode="#\ ?/????" sourceLinked="1"/>
        <c:majorTickMark val="out"/>
        <c:minorTickMark val="none"/>
        <c:tickLblPos val="nextTo"/>
        <c:crossAx val="1442189551"/>
        <c:crosses val="autoZero"/>
        <c:crossBetween val="midCat"/>
      </c:valAx>
      <c:valAx>
        <c:axId val="144218955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2187471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Y方向地震层间位移角</c:v>
          </c:tx>
          <c:marker>
            <c:symbol val="none"/>
          </c:marker>
          <c:xVal>
            <c:numRef>
              <c:f>Sheet1!$R$7:$R$45</c:f>
              <c:numCache>
                <c:formatCode>#\ ?/????</c:formatCode>
                <c:ptCount val="39"/>
                <c:pt idx="0">
                  <c:v>7.2833211944646763E-4</c:v>
                </c:pt>
                <c:pt idx="1">
                  <c:v>7.0972320794889996E-4</c:v>
                </c:pt>
                <c:pt idx="2">
                  <c:v>7.0871722182849046E-4</c:v>
                </c:pt>
                <c:pt idx="3">
                  <c:v>7.1174377224199293E-4</c:v>
                </c:pt>
                <c:pt idx="4">
                  <c:v>7.1428571428571429E-4</c:v>
                </c:pt>
                <c:pt idx="5">
                  <c:v>7.1633237822349568E-4</c:v>
                </c:pt>
                <c:pt idx="6">
                  <c:v>7.173601147776184E-4</c:v>
                </c:pt>
                <c:pt idx="7">
                  <c:v>7.1787508973438624E-4</c:v>
                </c:pt>
                <c:pt idx="8">
                  <c:v>7.1839080459770114E-4</c:v>
                </c:pt>
                <c:pt idx="9">
                  <c:v>7.1890726096333576E-4</c:v>
                </c:pt>
                <c:pt idx="10">
                  <c:v>7.1073205401563609E-4</c:v>
                </c:pt>
                <c:pt idx="11">
                  <c:v>7.0571630204657732E-4</c:v>
                </c:pt>
                <c:pt idx="12">
                  <c:v>6.9979006298110562E-4</c:v>
                </c:pt>
                <c:pt idx="13">
                  <c:v>6.925207756232687E-4</c:v>
                </c:pt>
                <c:pt idx="14">
                  <c:v>6.8352699931647305E-4</c:v>
                </c:pt>
                <c:pt idx="15">
                  <c:v>6.7430883344571813E-4</c:v>
                </c:pt>
                <c:pt idx="16">
                  <c:v>6.6357000663570006E-4</c:v>
                </c:pt>
                <c:pt idx="17">
                  <c:v>6.5231572080887146E-4</c:v>
                </c:pt>
                <c:pt idx="18">
                  <c:v>6.3979526551503517E-4</c:v>
                </c:pt>
                <c:pt idx="19">
                  <c:v>6.2578222778473093E-4</c:v>
                </c:pt>
                <c:pt idx="20">
                  <c:v>6.1124694376528117E-4</c:v>
                </c:pt>
                <c:pt idx="21">
                  <c:v>5.9594755661501785E-4</c:v>
                </c:pt>
                <c:pt idx="22">
                  <c:v>5.7937427578215526E-4</c:v>
                </c:pt>
                <c:pt idx="23">
                  <c:v>5.6306306306306306E-4</c:v>
                </c:pt>
                <c:pt idx="24">
                  <c:v>5.455537370430987E-4</c:v>
                </c:pt>
                <c:pt idx="25">
                  <c:v>5.1733057423693739E-4</c:v>
                </c:pt>
                <c:pt idx="26">
                  <c:v>4.965243296921549E-4</c:v>
                </c:pt>
                <c:pt idx="27">
                  <c:v>4.7393364928909954E-4</c:v>
                </c:pt>
                <c:pt idx="28">
                  <c:v>4.4984255510571302E-4</c:v>
                </c:pt>
                <c:pt idx="29">
                  <c:v>4.2408821034775233E-4</c:v>
                </c:pt>
                <c:pt idx="30">
                  <c:v>3.9745627980922101E-4</c:v>
                </c:pt>
                <c:pt idx="31">
                  <c:v>3.6859565057132326E-4</c:v>
                </c:pt>
                <c:pt idx="32">
                  <c:v>3.3749578130273371E-4</c:v>
                </c:pt>
                <c:pt idx="33">
                  <c:v>3.0321406913280777E-4</c:v>
                </c:pt>
                <c:pt idx="34">
                  <c:v>2.6504108136761196E-4</c:v>
                </c:pt>
                <c:pt idx="35">
                  <c:v>2.1867483052700635E-4</c:v>
                </c:pt>
                <c:pt idx="36">
                  <c:v>1.4549687181725592E-4</c:v>
                </c:pt>
                <c:pt idx="37">
                  <c:v>1.0001000100010001E-4</c:v>
                </c:pt>
                <c:pt idx="38">
                  <c:v>1.0001000100010001E-4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83-40D5-A545-08062FFDE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289375"/>
        <c:axId val="1440294367"/>
      </c:scatterChart>
      <c:valAx>
        <c:axId val="1440289375"/>
        <c:scaling>
          <c:orientation val="minMax"/>
        </c:scaling>
        <c:delete val="0"/>
        <c:axPos val="b"/>
        <c:numFmt formatCode="#\ ?/????" sourceLinked="1"/>
        <c:majorTickMark val="out"/>
        <c:minorTickMark val="none"/>
        <c:tickLblPos val="nextTo"/>
        <c:crossAx val="1440294367"/>
        <c:crosses val="autoZero"/>
        <c:crossBetween val="midCat"/>
      </c:valAx>
      <c:valAx>
        <c:axId val="144029436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289375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+X 方向风荷载层间位移角</c:v>
          </c:tx>
          <c:marker>
            <c:symbol val="none"/>
          </c:marker>
          <c:xVal>
            <c:numRef>
              <c:f>Sheet1!$S$7:$S$45</c:f>
              <c:numCache>
                <c:formatCode>#\ ?/????</c:formatCode>
                <c:ptCount val="39"/>
                <c:pt idx="0">
                  <c:v>4.2122999157540015E-4</c:v>
                </c:pt>
                <c:pt idx="1">
                  <c:v>2.8818443804034583E-4</c:v>
                </c:pt>
                <c:pt idx="2">
                  <c:v>2.7639579878385847E-4</c:v>
                </c:pt>
                <c:pt idx="3">
                  <c:v>2.8208744710860365E-4</c:v>
                </c:pt>
                <c:pt idx="4">
                  <c:v>2.8885037550548814E-4</c:v>
                </c:pt>
                <c:pt idx="5">
                  <c:v>2.9682398337785694E-4</c:v>
                </c:pt>
                <c:pt idx="6">
                  <c:v>3.0534351145038169E-4</c:v>
                </c:pt>
                <c:pt idx="7">
                  <c:v>3.1407035175879397E-4</c:v>
                </c:pt>
                <c:pt idx="8">
                  <c:v>3.2520325203252032E-4</c:v>
                </c:pt>
                <c:pt idx="9">
                  <c:v>3.370407819346141E-4</c:v>
                </c:pt>
                <c:pt idx="10">
                  <c:v>3.3932813030200206E-4</c:v>
                </c:pt>
                <c:pt idx="11">
                  <c:v>3.4770514603616132E-4</c:v>
                </c:pt>
                <c:pt idx="12">
                  <c:v>3.5523978685612787E-4</c:v>
                </c:pt>
                <c:pt idx="13">
                  <c:v>3.6218761318362912E-4</c:v>
                </c:pt>
                <c:pt idx="14">
                  <c:v>3.6751194413818452E-4</c:v>
                </c:pt>
                <c:pt idx="15">
                  <c:v>3.7355248412401944E-4</c:v>
                </c:pt>
                <c:pt idx="16">
                  <c:v>3.7921880925293893E-4</c:v>
                </c:pt>
                <c:pt idx="17">
                  <c:v>3.84172109104879E-4</c:v>
                </c:pt>
                <c:pt idx="18">
                  <c:v>3.8834951456310682E-4</c:v>
                </c:pt>
                <c:pt idx="19">
                  <c:v>3.9077764751856197E-4</c:v>
                </c:pt>
                <c:pt idx="20">
                  <c:v>3.937007874015748E-4</c:v>
                </c:pt>
                <c:pt idx="21">
                  <c:v>3.9588281868566902E-4</c:v>
                </c:pt>
                <c:pt idx="22">
                  <c:v>3.9698292973402142E-4</c:v>
                </c:pt>
                <c:pt idx="23">
                  <c:v>4.0064102564102563E-4</c:v>
                </c:pt>
                <c:pt idx="24">
                  <c:v>4.051863857374392E-4</c:v>
                </c:pt>
                <c:pt idx="25">
                  <c:v>3.8986354775828459E-4</c:v>
                </c:pt>
                <c:pt idx="26">
                  <c:v>3.8520801232665641E-4</c:v>
                </c:pt>
                <c:pt idx="27">
                  <c:v>3.786444528587656E-4</c:v>
                </c:pt>
                <c:pt idx="28">
                  <c:v>3.7050759540570581E-4</c:v>
                </c:pt>
                <c:pt idx="29">
                  <c:v>3.595828838547285E-4</c:v>
                </c:pt>
                <c:pt idx="30">
                  <c:v>3.4806822137138882E-4</c:v>
                </c:pt>
                <c:pt idx="31">
                  <c:v>3.3411293017039759E-4</c:v>
                </c:pt>
                <c:pt idx="32">
                  <c:v>3.1715826197272439E-4</c:v>
                </c:pt>
                <c:pt idx="33">
                  <c:v>2.9603315571343988E-4</c:v>
                </c:pt>
                <c:pt idx="34">
                  <c:v>2.6954177897574127E-4</c:v>
                </c:pt>
                <c:pt idx="35">
                  <c:v>2.2988505747126436E-4</c:v>
                </c:pt>
                <c:pt idx="36">
                  <c:v>1.6420361247947455E-4</c:v>
                </c:pt>
                <c:pt idx="37">
                  <c:v>1.0001000100010001E-4</c:v>
                </c:pt>
                <c:pt idx="38">
                  <c:v>1.0001000100010001E-4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6A-4266-AA2D-0A9BEF1BD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952975"/>
        <c:axId val="1400954639"/>
      </c:scatterChart>
      <c:valAx>
        <c:axId val="1400952975"/>
        <c:scaling>
          <c:orientation val="minMax"/>
        </c:scaling>
        <c:delete val="0"/>
        <c:axPos val="b"/>
        <c:numFmt formatCode="#\ ?/????" sourceLinked="1"/>
        <c:majorTickMark val="out"/>
        <c:minorTickMark val="none"/>
        <c:tickLblPos val="nextTo"/>
        <c:crossAx val="1400954639"/>
        <c:crosses val="autoZero"/>
        <c:crossBetween val="midCat"/>
      </c:valAx>
      <c:valAx>
        <c:axId val="140095463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0952975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+Y 方向风荷载层间位移角</c:v>
          </c:tx>
          <c:marker>
            <c:symbol val="none"/>
          </c:marker>
          <c:xVal>
            <c:numRef>
              <c:f>Sheet1!$T$7:$T$45</c:f>
              <c:numCache>
                <c:formatCode>#\ ?/????</c:formatCode>
                <c:ptCount val="39"/>
                <c:pt idx="0">
                  <c:v>1.3157894736842105E-3</c:v>
                </c:pt>
                <c:pt idx="1">
                  <c:v>1.2300123001230013E-3</c:v>
                </c:pt>
                <c:pt idx="2">
                  <c:v>1.2254901960784314E-3</c:v>
                </c:pt>
                <c:pt idx="3">
                  <c:v>1.2269938650306749E-3</c:v>
                </c:pt>
                <c:pt idx="4">
                  <c:v>1.2300123001230013E-3</c:v>
                </c:pt>
                <c:pt idx="5">
                  <c:v>1.2315270935960591E-3</c:v>
                </c:pt>
                <c:pt idx="6">
                  <c:v>1.2330456226880395E-3</c:v>
                </c:pt>
                <c:pt idx="7">
                  <c:v>1.2345679012345679E-3</c:v>
                </c:pt>
                <c:pt idx="8">
                  <c:v>1.2360939431396785E-3</c:v>
                </c:pt>
                <c:pt idx="9">
                  <c:v>1.2391573729863693E-3</c:v>
                </c:pt>
                <c:pt idx="10">
                  <c:v>1.2285012285012285E-3</c:v>
                </c:pt>
                <c:pt idx="11">
                  <c:v>1.2239902080783353E-3</c:v>
                </c:pt>
                <c:pt idx="12">
                  <c:v>1.2180267965895249E-3</c:v>
                </c:pt>
                <c:pt idx="13">
                  <c:v>1.2091898428053204E-3</c:v>
                </c:pt>
                <c:pt idx="14">
                  <c:v>1.199040767386091E-3</c:v>
                </c:pt>
                <c:pt idx="15">
                  <c:v>1.1876484560570072E-3</c:v>
                </c:pt>
                <c:pt idx="16">
                  <c:v>1.1737089201877935E-3</c:v>
                </c:pt>
                <c:pt idx="17">
                  <c:v>1.1574074074074073E-3</c:v>
                </c:pt>
                <c:pt idx="18">
                  <c:v>1.1389521640091116E-3</c:v>
                </c:pt>
                <c:pt idx="19">
                  <c:v>1.1185682326621924E-3</c:v>
                </c:pt>
                <c:pt idx="20">
                  <c:v>1.0952902519167579E-3</c:v>
                </c:pt>
                <c:pt idx="21">
                  <c:v>1.0706638115631692E-3</c:v>
                </c:pt>
                <c:pt idx="22">
                  <c:v>1.0438413361169101E-3</c:v>
                </c:pt>
                <c:pt idx="23">
                  <c:v>1.0152284263959391E-3</c:v>
                </c:pt>
                <c:pt idx="24">
                  <c:v>9.8522167487684722E-4</c:v>
                </c:pt>
                <c:pt idx="25">
                  <c:v>9.3457943925233649E-4</c:v>
                </c:pt>
                <c:pt idx="26">
                  <c:v>8.960573476702509E-4</c:v>
                </c:pt>
                <c:pt idx="27">
                  <c:v>8.547008547008547E-4</c:v>
                </c:pt>
                <c:pt idx="28">
                  <c:v>8.0971659919028337E-4</c:v>
                </c:pt>
                <c:pt idx="29">
                  <c:v>7.6161462300076163E-4</c:v>
                </c:pt>
                <c:pt idx="30">
                  <c:v>7.1123755334281653E-4</c:v>
                </c:pt>
                <c:pt idx="31">
                  <c:v>6.5703022339027597E-4</c:v>
                </c:pt>
                <c:pt idx="32">
                  <c:v>5.9844404548174744E-4</c:v>
                </c:pt>
                <c:pt idx="33">
                  <c:v>5.3447354355959376E-4</c:v>
                </c:pt>
                <c:pt idx="34">
                  <c:v>4.8828125E-4</c:v>
                </c:pt>
                <c:pt idx="35">
                  <c:v>4.1118421052631577E-4</c:v>
                </c:pt>
                <c:pt idx="36">
                  <c:v>2.5647601949217746E-4</c:v>
                </c:pt>
                <c:pt idx="37">
                  <c:v>1.3025921583952066E-4</c:v>
                </c:pt>
                <c:pt idx="38">
                  <c:v>1.0001000100010001E-4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29-4246-BE15-6BEB1268F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279631"/>
        <c:axId val="1449281711"/>
      </c:scatterChart>
      <c:valAx>
        <c:axId val="1449279631"/>
        <c:scaling>
          <c:orientation val="minMax"/>
        </c:scaling>
        <c:delete val="0"/>
        <c:axPos val="b"/>
        <c:numFmt formatCode="#\ ?/????" sourceLinked="1"/>
        <c:majorTickMark val="out"/>
        <c:minorTickMark val="none"/>
        <c:tickLblPos val="nextTo"/>
        <c:crossAx val="1449281711"/>
        <c:crosses val="autoZero"/>
        <c:crossBetween val="midCat"/>
      </c:valAx>
      <c:valAx>
        <c:axId val="144928171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279631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Ratx1=</c:v>
          </c:tx>
          <c:marker>
            <c:symbol val="none"/>
          </c:marker>
          <c:xVal>
            <c:numRef>
              <c:f>Sheet1!$F$7:$F$45</c:f>
              <c:numCache>
                <c:formatCode>General</c:formatCode>
                <c:ptCount val="39"/>
                <c:pt idx="0">
                  <c:v>1</c:v>
                </c:pt>
                <c:pt idx="1">
                  <c:v>5.9820000000000002</c:v>
                </c:pt>
                <c:pt idx="2">
                  <c:v>2.2336999999999998</c:v>
                </c:pt>
                <c:pt idx="3">
                  <c:v>1.6964999999999999</c:v>
                </c:pt>
                <c:pt idx="4">
                  <c:v>1.5905</c:v>
                </c:pt>
                <c:pt idx="5">
                  <c:v>1.5239</c:v>
                </c:pt>
                <c:pt idx="6">
                  <c:v>1.4434</c:v>
                </c:pt>
                <c:pt idx="7">
                  <c:v>1.4039999999999999</c:v>
                </c:pt>
                <c:pt idx="8">
                  <c:v>1.3773</c:v>
                </c:pt>
                <c:pt idx="9">
                  <c:v>1.4066000000000001</c:v>
                </c:pt>
                <c:pt idx="10">
                  <c:v>1.327</c:v>
                </c:pt>
                <c:pt idx="11">
                  <c:v>1.3091999999999999</c:v>
                </c:pt>
                <c:pt idx="12">
                  <c:v>1.2970999999999999</c:v>
                </c:pt>
                <c:pt idx="13">
                  <c:v>1.3047</c:v>
                </c:pt>
                <c:pt idx="14">
                  <c:v>1.3069</c:v>
                </c:pt>
                <c:pt idx="15">
                  <c:v>1.304</c:v>
                </c:pt>
                <c:pt idx="16">
                  <c:v>1.3022</c:v>
                </c:pt>
                <c:pt idx="17">
                  <c:v>1.3018000000000001</c:v>
                </c:pt>
                <c:pt idx="18">
                  <c:v>1.3046</c:v>
                </c:pt>
                <c:pt idx="19">
                  <c:v>1.3107</c:v>
                </c:pt>
                <c:pt idx="20">
                  <c:v>1.3122</c:v>
                </c:pt>
                <c:pt idx="21">
                  <c:v>1.3139000000000001</c:v>
                </c:pt>
                <c:pt idx="22">
                  <c:v>1.3172999999999999</c:v>
                </c:pt>
                <c:pt idx="23">
                  <c:v>1.3159000000000001</c:v>
                </c:pt>
                <c:pt idx="24">
                  <c:v>1.3754999999999999</c:v>
                </c:pt>
                <c:pt idx="25">
                  <c:v>1.3340000000000001</c:v>
                </c:pt>
                <c:pt idx="26">
                  <c:v>1.3419000000000001</c:v>
                </c:pt>
                <c:pt idx="27">
                  <c:v>1.3481000000000001</c:v>
                </c:pt>
                <c:pt idx="28">
                  <c:v>1.369</c:v>
                </c:pt>
                <c:pt idx="29">
                  <c:v>1.3829</c:v>
                </c:pt>
                <c:pt idx="30">
                  <c:v>1.3918999999999999</c:v>
                </c:pt>
                <c:pt idx="31">
                  <c:v>1.405</c:v>
                </c:pt>
                <c:pt idx="32">
                  <c:v>1.4247000000000001</c:v>
                </c:pt>
                <c:pt idx="33">
                  <c:v>1.4572000000000001</c:v>
                </c:pt>
                <c:pt idx="34">
                  <c:v>1.5088999999999999</c:v>
                </c:pt>
                <c:pt idx="35">
                  <c:v>1.6466000000000001</c:v>
                </c:pt>
                <c:pt idx="36">
                  <c:v>1.0363</c:v>
                </c:pt>
                <c:pt idx="37">
                  <c:v>6.694</c:v>
                </c:pt>
                <c:pt idx="38">
                  <c:v>3.9731000000000001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3F-464C-83B0-145817F30F49}"/>
            </c:ext>
          </c:extLst>
        </c:ser>
        <c:ser>
          <c:idx val="1"/>
          <c:order val="1"/>
          <c:tx>
            <c:v>限值</c:v>
          </c:tx>
          <c:marker>
            <c:symbol val="none"/>
          </c:marker>
          <c:xVal>
            <c:numRef>
              <c:f>ref!$A$7:$A$45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3F-464C-83B0-145817F30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676623"/>
        <c:axId val="1403675375"/>
      </c:scatterChart>
      <c:valAx>
        <c:axId val="1403676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675375"/>
        <c:crosses val="autoZero"/>
        <c:crossBetween val="midCat"/>
      </c:valAx>
      <c:valAx>
        <c:axId val="140367537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676623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Raty1=</c:v>
          </c:tx>
          <c:marker>
            <c:symbol val="none"/>
          </c:marker>
          <c:xVal>
            <c:numRef>
              <c:f>Sheet1!$G$7:$G$45</c:f>
              <c:numCache>
                <c:formatCode>General</c:formatCode>
                <c:ptCount val="39"/>
                <c:pt idx="0">
                  <c:v>1</c:v>
                </c:pt>
                <c:pt idx="1">
                  <c:v>5.2378999999999998</c:v>
                </c:pt>
                <c:pt idx="2">
                  <c:v>2.1120999999999999</c:v>
                </c:pt>
                <c:pt idx="3">
                  <c:v>1.7351000000000001</c:v>
                </c:pt>
                <c:pt idx="4">
                  <c:v>1.6141000000000001</c:v>
                </c:pt>
                <c:pt idx="5">
                  <c:v>1.5535000000000001</c:v>
                </c:pt>
                <c:pt idx="6">
                  <c:v>1.4618</c:v>
                </c:pt>
                <c:pt idx="7">
                  <c:v>1.4096</c:v>
                </c:pt>
                <c:pt idx="8">
                  <c:v>1.3757999999999999</c:v>
                </c:pt>
                <c:pt idx="9">
                  <c:v>1.4136</c:v>
                </c:pt>
                <c:pt idx="10">
                  <c:v>1.3160000000000001</c:v>
                </c:pt>
                <c:pt idx="11">
                  <c:v>1.3011999999999999</c:v>
                </c:pt>
                <c:pt idx="12">
                  <c:v>1.2907999999999999</c:v>
                </c:pt>
                <c:pt idx="13">
                  <c:v>1.3051999999999999</c:v>
                </c:pt>
                <c:pt idx="14">
                  <c:v>1.3087</c:v>
                </c:pt>
                <c:pt idx="15">
                  <c:v>1.3157000000000001</c:v>
                </c:pt>
                <c:pt idx="16">
                  <c:v>1.3264</c:v>
                </c:pt>
                <c:pt idx="17">
                  <c:v>1.3391</c:v>
                </c:pt>
                <c:pt idx="18">
                  <c:v>1.3526</c:v>
                </c:pt>
                <c:pt idx="19">
                  <c:v>1.3662000000000001</c:v>
                </c:pt>
                <c:pt idx="20">
                  <c:v>1.3782000000000001</c:v>
                </c:pt>
                <c:pt idx="21">
                  <c:v>1.3907</c:v>
                </c:pt>
                <c:pt idx="22">
                  <c:v>1.4036999999999999</c:v>
                </c:pt>
                <c:pt idx="23">
                  <c:v>1.4141999999999999</c:v>
                </c:pt>
                <c:pt idx="24">
                  <c:v>1.4936</c:v>
                </c:pt>
                <c:pt idx="25">
                  <c:v>1.4350000000000001</c:v>
                </c:pt>
                <c:pt idx="26">
                  <c:v>1.4443999999999999</c:v>
                </c:pt>
                <c:pt idx="27">
                  <c:v>1.4537</c:v>
                </c:pt>
                <c:pt idx="28">
                  <c:v>1.4830000000000001</c:v>
                </c:pt>
                <c:pt idx="29">
                  <c:v>1.4982</c:v>
                </c:pt>
                <c:pt idx="30">
                  <c:v>1.5123</c:v>
                </c:pt>
                <c:pt idx="31">
                  <c:v>1.5310999999999999</c:v>
                </c:pt>
                <c:pt idx="32">
                  <c:v>1.5581</c:v>
                </c:pt>
                <c:pt idx="33">
                  <c:v>1.5985</c:v>
                </c:pt>
                <c:pt idx="34">
                  <c:v>1.6608000000000001</c:v>
                </c:pt>
                <c:pt idx="35">
                  <c:v>1.7724</c:v>
                </c:pt>
                <c:pt idx="36">
                  <c:v>1.0851</c:v>
                </c:pt>
                <c:pt idx="37">
                  <c:v>3.6196000000000002</c:v>
                </c:pt>
                <c:pt idx="38">
                  <c:v>4.9450000000000003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7-4CFF-BA3B-C43CE09119A8}"/>
            </c:ext>
          </c:extLst>
        </c:ser>
        <c:ser>
          <c:idx val="1"/>
          <c:order val="1"/>
          <c:tx>
            <c:v>限值</c:v>
          </c:tx>
          <c:marker>
            <c:symbol val="none"/>
          </c:marker>
          <c:xVal>
            <c:numRef>
              <c:f>ref!$A$7:$A$45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77-4CFF-BA3B-C43CE0911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679951"/>
        <c:axId val="1403676623"/>
      </c:scatterChart>
      <c:valAx>
        <c:axId val="1403679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676623"/>
        <c:crosses val="autoZero"/>
        <c:crossBetween val="midCat"/>
      </c:valAx>
      <c:valAx>
        <c:axId val="140367662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679951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Ratx2=</c:v>
          </c:tx>
          <c:marker>
            <c:symbol val="none"/>
          </c:marker>
          <c:xVal>
            <c:numRef>
              <c:f>Sheet1!$H$7:$H$45</c:f>
              <c:numCache>
                <c:formatCode>General</c:formatCode>
                <c:ptCount val="39"/>
                <c:pt idx="0">
                  <c:v>1</c:v>
                </c:pt>
                <c:pt idx="1">
                  <c:v>3.5295999999999998</c:v>
                </c:pt>
                <c:pt idx="2">
                  <c:v>1.6583000000000001</c:v>
                </c:pt>
                <c:pt idx="3">
                  <c:v>1.3194999999999999</c:v>
                </c:pt>
                <c:pt idx="4">
                  <c:v>1.2371000000000001</c:v>
                </c:pt>
                <c:pt idx="5">
                  <c:v>1.1986000000000001</c:v>
                </c:pt>
                <c:pt idx="6">
                  <c:v>1.1801999999999999</c:v>
                </c:pt>
                <c:pt idx="7">
                  <c:v>1.1708000000000001</c:v>
                </c:pt>
                <c:pt idx="8">
                  <c:v>1.1599999999999999</c:v>
                </c:pt>
                <c:pt idx="9">
                  <c:v>1.1378999999999999</c:v>
                </c:pt>
                <c:pt idx="10">
                  <c:v>1.1645000000000001</c:v>
                </c:pt>
                <c:pt idx="11">
                  <c:v>1.1378999999999999</c:v>
                </c:pt>
                <c:pt idx="12">
                  <c:v>1.1355</c:v>
                </c:pt>
                <c:pt idx="13">
                  <c:v>1.1342000000000001</c:v>
                </c:pt>
                <c:pt idx="14">
                  <c:v>1.1377999999999999</c:v>
                </c:pt>
                <c:pt idx="15">
                  <c:v>1.1333</c:v>
                </c:pt>
                <c:pt idx="16">
                  <c:v>1.1335</c:v>
                </c:pt>
                <c:pt idx="17">
                  <c:v>1.1345000000000001</c:v>
                </c:pt>
                <c:pt idx="18">
                  <c:v>1.1362000000000001</c:v>
                </c:pt>
                <c:pt idx="19">
                  <c:v>1.1400999999999999</c:v>
                </c:pt>
                <c:pt idx="20">
                  <c:v>1.1383000000000001</c:v>
                </c:pt>
                <c:pt idx="21">
                  <c:v>1.1396999999999999</c:v>
                </c:pt>
                <c:pt idx="22">
                  <c:v>1.1423000000000001</c:v>
                </c:pt>
                <c:pt idx="23">
                  <c:v>1.1389</c:v>
                </c:pt>
                <c:pt idx="24">
                  <c:v>1.1352</c:v>
                </c:pt>
                <c:pt idx="25">
                  <c:v>1.1794</c:v>
                </c:pt>
                <c:pt idx="26">
                  <c:v>1.1575</c:v>
                </c:pt>
                <c:pt idx="27">
                  <c:v>1.1620999999999999</c:v>
                </c:pt>
                <c:pt idx="28">
                  <c:v>1.1657</c:v>
                </c:pt>
                <c:pt idx="29">
                  <c:v>1.1737</c:v>
                </c:pt>
                <c:pt idx="30">
                  <c:v>1.175</c:v>
                </c:pt>
                <c:pt idx="31">
                  <c:v>1.1827000000000001</c:v>
                </c:pt>
                <c:pt idx="32">
                  <c:v>1.1938</c:v>
                </c:pt>
                <c:pt idx="33">
                  <c:v>1.2111000000000001</c:v>
                </c:pt>
                <c:pt idx="34">
                  <c:v>1.2390000000000001</c:v>
                </c:pt>
                <c:pt idx="35">
                  <c:v>1.3268</c:v>
                </c:pt>
                <c:pt idx="36">
                  <c:v>1.6503000000000001</c:v>
                </c:pt>
                <c:pt idx="37">
                  <c:v>4.9976000000000003</c:v>
                </c:pt>
                <c:pt idx="38">
                  <c:v>1.4914000000000001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05-42FD-8E11-5EA609165FFE}"/>
            </c:ext>
          </c:extLst>
        </c:ser>
        <c:ser>
          <c:idx val="1"/>
          <c:order val="1"/>
          <c:tx>
            <c:v>限值</c:v>
          </c:tx>
          <c:marker>
            <c:symbol val="none"/>
          </c:marker>
          <c:xVal>
            <c:numRef>
              <c:f>ref!$A$7:$A$45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05-42FD-8E11-5EA60916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679119"/>
        <c:axId val="1403678703"/>
      </c:scatterChart>
      <c:valAx>
        <c:axId val="140367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678703"/>
        <c:crosses val="autoZero"/>
        <c:crossBetween val="midCat"/>
      </c:valAx>
      <c:valAx>
        <c:axId val="140367870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679119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Raty2=</c:v>
          </c:tx>
          <c:marker>
            <c:symbol val="none"/>
          </c:marker>
          <c:xVal>
            <c:numRef>
              <c:f>Sheet1!$I$7:$I$45</c:f>
              <c:numCache>
                <c:formatCode>General</c:formatCode>
                <c:ptCount val="39"/>
                <c:pt idx="0">
                  <c:v>1</c:v>
                </c:pt>
                <c:pt idx="1">
                  <c:v>3.0905999999999998</c:v>
                </c:pt>
                <c:pt idx="2">
                  <c:v>1.5681</c:v>
                </c:pt>
                <c:pt idx="3">
                  <c:v>1.3494999999999999</c:v>
                </c:pt>
                <c:pt idx="4">
                  <c:v>1.2554000000000001</c:v>
                </c:pt>
                <c:pt idx="5">
                  <c:v>1.2081999999999999</c:v>
                </c:pt>
                <c:pt idx="6">
                  <c:v>1.1839999999999999</c:v>
                </c:pt>
                <c:pt idx="7">
                  <c:v>1.1700999999999999</c:v>
                </c:pt>
                <c:pt idx="8">
                  <c:v>1.1579999999999999</c:v>
                </c:pt>
                <c:pt idx="9">
                  <c:v>1.1451</c:v>
                </c:pt>
                <c:pt idx="10">
                  <c:v>1.1508</c:v>
                </c:pt>
                <c:pt idx="11">
                  <c:v>1.1375999999999999</c:v>
                </c:pt>
                <c:pt idx="12">
                  <c:v>1.1347</c:v>
                </c:pt>
                <c:pt idx="13">
                  <c:v>1.1353</c:v>
                </c:pt>
                <c:pt idx="14">
                  <c:v>1.1389</c:v>
                </c:pt>
                <c:pt idx="15">
                  <c:v>1.1424000000000001</c:v>
                </c:pt>
                <c:pt idx="16">
                  <c:v>1.1482000000000001</c:v>
                </c:pt>
                <c:pt idx="17">
                  <c:v>1.1540999999999999</c:v>
                </c:pt>
                <c:pt idx="18">
                  <c:v>1.1599999999999999</c:v>
                </c:pt>
                <c:pt idx="19">
                  <c:v>1.1657999999999999</c:v>
                </c:pt>
                <c:pt idx="20">
                  <c:v>1.1702999999999999</c:v>
                </c:pt>
                <c:pt idx="21">
                  <c:v>1.1760999999999999</c:v>
                </c:pt>
                <c:pt idx="22">
                  <c:v>1.1819</c:v>
                </c:pt>
                <c:pt idx="23">
                  <c:v>1.1851</c:v>
                </c:pt>
                <c:pt idx="24">
                  <c:v>1.1880999999999999</c:v>
                </c:pt>
                <c:pt idx="25">
                  <c:v>1.2169000000000001</c:v>
                </c:pt>
                <c:pt idx="26">
                  <c:v>1.2037</c:v>
                </c:pt>
                <c:pt idx="27">
                  <c:v>1.2095</c:v>
                </c:pt>
                <c:pt idx="28">
                  <c:v>1.2157</c:v>
                </c:pt>
                <c:pt idx="29">
                  <c:v>1.2223999999999999</c:v>
                </c:pt>
                <c:pt idx="30">
                  <c:v>1.2276</c:v>
                </c:pt>
                <c:pt idx="31">
                  <c:v>1.2375</c:v>
                </c:pt>
                <c:pt idx="32">
                  <c:v>1.2514000000000001</c:v>
                </c:pt>
                <c:pt idx="33">
                  <c:v>1.2717000000000001</c:v>
                </c:pt>
                <c:pt idx="34">
                  <c:v>1.3037000000000001</c:v>
                </c:pt>
                <c:pt idx="35">
                  <c:v>1.3785000000000001</c:v>
                </c:pt>
                <c:pt idx="36">
                  <c:v>1.7281</c:v>
                </c:pt>
                <c:pt idx="37">
                  <c:v>2.5834999999999999</c:v>
                </c:pt>
                <c:pt idx="38">
                  <c:v>1.8562000000000001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E0-45FA-9CE4-FB57870E6021}"/>
            </c:ext>
          </c:extLst>
        </c:ser>
        <c:ser>
          <c:idx val="1"/>
          <c:order val="1"/>
          <c:tx>
            <c:v>限值</c:v>
          </c:tx>
          <c:marker>
            <c:symbol val="none"/>
          </c:marker>
          <c:xVal>
            <c:numRef>
              <c:f>ref!$A$7:$A$45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E0-45FA-9CE4-FB57870E6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679119"/>
        <c:axId val="1403672879"/>
      </c:scatterChart>
      <c:valAx>
        <c:axId val="140367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672879"/>
        <c:crosses val="autoZero"/>
        <c:crossBetween val="midCat"/>
      </c:valAx>
      <c:valAx>
        <c:axId val="140367287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679119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Ratio_X</c:v>
          </c:tx>
          <c:marker>
            <c:symbol val="none"/>
          </c:marker>
          <c:xVal>
            <c:numRef>
              <c:f>Sheet1!$K$7:$K$45</c:f>
              <c:numCache>
                <c:formatCode>General</c:formatCode>
                <c:ptCount val="39"/>
                <c:pt idx="0">
                  <c:v>1</c:v>
                </c:pt>
                <c:pt idx="1">
                  <c:v>1.75</c:v>
                </c:pt>
                <c:pt idx="2">
                  <c:v>1.41</c:v>
                </c:pt>
                <c:pt idx="3">
                  <c:v>1.02</c:v>
                </c:pt>
                <c:pt idx="4">
                  <c:v>1.02</c:v>
                </c:pt>
                <c:pt idx="5">
                  <c:v>1.02</c:v>
                </c:pt>
                <c:pt idx="6">
                  <c:v>1.02</c:v>
                </c:pt>
                <c:pt idx="7">
                  <c:v>1.02</c:v>
                </c:pt>
                <c:pt idx="8">
                  <c:v>1.02</c:v>
                </c:pt>
                <c:pt idx="9">
                  <c:v>0.95</c:v>
                </c:pt>
                <c:pt idx="10">
                  <c:v>1.0900000000000001</c:v>
                </c:pt>
                <c:pt idx="11">
                  <c:v>1.02</c:v>
                </c:pt>
                <c:pt idx="12">
                  <c:v>1.02</c:v>
                </c:pt>
                <c:pt idx="13">
                  <c:v>1.01</c:v>
                </c:pt>
                <c:pt idx="14">
                  <c:v>1.08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1.07</c:v>
                </c:pt>
                <c:pt idx="20">
                  <c:v>1.01</c:v>
                </c:pt>
                <c:pt idx="21">
                  <c:v>1.01</c:v>
                </c:pt>
                <c:pt idx="22">
                  <c:v>1.02</c:v>
                </c:pt>
                <c:pt idx="23">
                  <c:v>1.01</c:v>
                </c:pt>
                <c:pt idx="24">
                  <c:v>0.99</c:v>
                </c:pt>
                <c:pt idx="25">
                  <c:v>1.06</c:v>
                </c:pt>
                <c:pt idx="26">
                  <c:v>1.02</c:v>
                </c:pt>
                <c:pt idx="27">
                  <c:v>1.01</c:v>
                </c:pt>
                <c:pt idx="28">
                  <c:v>1.01</c:v>
                </c:pt>
                <c:pt idx="29">
                  <c:v>1.05</c:v>
                </c:pt>
                <c:pt idx="30">
                  <c:v>1.01</c:v>
                </c:pt>
                <c:pt idx="31">
                  <c:v>1.01</c:v>
                </c:pt>
                <c:pt idx="32">
                  <c:v>1</c:v>
                </c:pt>
                <c:pt idx="33">
                  <c:v>1.01</c:v>
                </c:pt>
                <c:pt idx="34">
                  <c:v>1.05</c:v>
                </c:pt>
                <c:pt idx="35">
                  <c:v>1.1000000000000001</c:v>
                </c:pt>
                <c:pt idx="36">
                  <c:v>1.0900000000000001</c:v>
                </c:pt>
                <c:pt idx="37">
                  <c:v>2.2000000000000002</c:v>
                </c:pt>
                <c:pt idx="38">
                  <c:v>1.1499999999999999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00-482B-B8B1-411FF929E334}"/>
            </c:ext>
          </c:extLst>
        </c:ser>
        <c:ser>
          <c:idx val="1"/>
          <c:order val="1"/>
          <c:tx>
            <c:v>限值</c:v>
          </c:tx>
          <c:marker>
            <c:symbol val="none"/>
          </c:marker>
          <c:xVal>
            <c:numRef>
              <c:f>ref!$B$7:$B$45</c:f>
              <c:numCache>
                <c:formatCode>General</c:formatCode>
                <c:ptCount val="3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00-482B-B8B1-411FF929E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281711"/>
        <c:axId val="1449286703"/>
      </c:scatterChart>
      <c:valAx>
        <c:axId val="1449281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286703"/>
        <c:crosses val="autoZero"/>
        <c:crossBetween val="midCat"/>
      </c:valAx>
      <c:valAx>
        <c:axId val="144928670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281711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Ratio_Y</c:v>
          </c:tx>
          <c:marker>
            <c:symbol val="none"/>
          </c:marker>
          <c:xVal>
            <c:numRef>
              <c:f>Sheet1!$L$7:$L$45</c:f>
              <c:numCache>
                <c:formatCode>General</c:formatCode>
                <c:ptCount val="39"/>
                <c:pt idx="0">
                  <c:v>1</c:v>
                </c:pt>
                <c:pt idx="1">
                  <c:v>4.8499999999999996</c:v>
                </c:pt>
                <c:pt idx="2">
                  <c:v>1.02</c:v>
                </c:pt>
                <c:pt idx="3">
                  <c:v>1.02</c:v>
                </c:pt>
                <c:pt idx="4">
                  <c:v>1.02</c:v>
                </c:pt>
                <c:pt idx="5">
                  <c:v>1.02</c:v>
                </c:pt>
                <c:pt idx="6">
                  <c:v>1.02</c:v>
                </c:pt>
                <c:pt idx="7">
                  <c:v>1.02</c:v>
                </c:pt>
                <c:pt idx="8">
                  <c:v>1.02</c:v>
                </c:pt>
                <c:pt idx="9">
                  <c:v>0.96</c:v>
                </c:pt>
                <c:pt idx="10">
                  <c:v>1.01</c:v>
                </c:pt>
                <c:pt idx="11">
                  <c:v>1</c:v>
                </c:pt>
                <c:pt idx="12">
                  <c:v>1.01</c:v>
                </c:pt>
                <c:pt idx="13">
                  <c:v>1.1000000000000001</c:v>
                </c:pt>
                <c:pt idx="14">
                  <c:v>1.0900000000000001</c:v>
                </c:pt>
                <c:pt idx="15">
                  <c:v>1.01</c:v>
                </c:pt>
                <c:pt idx="16">
                  <c:v>0.93</c:v>
                </c:pt>
                <c:pt idx="17">
                  <c:v>1.01</c:v>
                </c:pt>
                <c:pt idx="18">
                  <c:v>1.01</c:v>
                </c:pt>
                <c:pt idx="19">
                  <c:v>1.08</c:v>
                </c:pt>
                <c:pt idx="20">
                  <c:v>1.1000000000000001</c:v>
                </c:pt>
                <c:pt idx="21">
                  <c:v>1.01</c:v>
                </c:pt>
                <c:pt idx="22">
                  <c:v>0.92</c:v>
                </c:pt>
                <c:pt idx="23">
                  <c:v>1</c:v>
                </c:pt>
                <c:pt idx="24">
                  <c:v>1.01</c:v>
                </c:pt>
                <c:pt idx="25">
                  <c:v>1.21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0.97</c:v>
                </c:pt>
                <c:pt idx="30">
                  <c:v>1</c:v>
                </c:pt>
                <c:pt idx="31">
                  <c:v>1</c:v>
                </c:pt>
                <c:pt idx="32">
                  <c:v>1.04</c:v>
                </c:pt>
                <c:pt idx="33">
                  <c:v>1.05</c:v>
                </c:pt>
                <c:pt idx="34">
                  <c:v>1</c:v>
                </c:pt>
                <c:pt idx="35">
                  <c:v>0.94</c:v>
                </c:pt>
                <c:pt idx="36">
                  <c:v>1.1499999999999999</c:v>
                </c:pt>
                <c:pt idx="37">
                  <c:v>1.21</c:v>
                </c:pt>
                <c:pt idx="38">
                  <c:v>1.1200000000000001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FC-4AF9-AF61-36314E2141B2}"/>
            </c:ext>
          </c:extLst>
        </c:ser>
        <c:ser>
          <c:idx val="1"/>
          <c:order val="1"/>
          <c:tx>
            <c:v>限值</c:v>
          </c:tx>
          <c:marker>
            <c:symbol val="none"/>
          </c:marker>
          <c:xVal>
            <c:numRef>
              <c:f>ref!$B$7:$B$45</c:f>
              <c:numCache>
                <c:formatCode>General</c:formatCode>
                <c:ptCount val="3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FC-4AF9-AF61-36314E21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963279"/>
        <c:axId val="1396961199"/>
      </c:scatterChart>
      <c:valAx>
        <c:axId val="1396963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961199"/>
        <c:crosses val="autoZero"/>
        <c:crossBetween val="midCat"/>
      </c:valAx>
      <c:valAx>
        <c:axId val="139696119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963279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X 向剪重比</c:v>
          </c:tx>
          <c:marker>
            <c:symbol val="none"/>
          </c:marker>
          <c:xVal>
            <c:numRef>
              <c:f>Sheet1!$O$7:$O$45</c:f>
              <c:numCache>
                <c:formatCode>0.00%</c:formatCode>
                <c:ptCount val="39"/>
                <c:pt idx="0">
                  <c:v>8.4400000000000003E-2</c:v>
                </c:pt>
                <c:pt idx="1">
                  <c:v>5.9799999999999999E-2</c:v>
                </c:pt>
                <c:pt idx="2">
                  <c:v>5.2839999999999998E-2</c:v>
                </c:pt>
                <c:pt idx="3">
                  <c:v>4.7359999999999999E-2</c:v>
                </c:pt>
                <c:pt idx="4">
                  <c:v>4.2779999999999999E-2</c:v>
                </c:pt>
                <c:pt idx="5">
                  <c:v>3.9039999999999998E-2</c:v>
                </c:pt>
                <c:pt idx="6">
                  <c:v>3.6150000000000002E-2</c:v>
                </c:pt>
                <c:pt idx="7">
                  <c:v>3.3989999999999999E-2</c:v>
                </c:pt>
                <c:pt idx="8">
                  <c:v>3.2250000000000001E-2</c:v>
                </c:pt>
                <c:pt idx="9">
                  <c:v>3.0710000000000001E-2</c:v>
                </c:pt>
                <c:pt idx="10">
                  <c:v>2.92E-2</c:v>
                </c:pt>
                <c:pt idx="11">
                  <c:v>2.777E-2</c:v>
                </c:pt>
                <c:pt idx="12">
                  <c:v>2.6450000000000001E-2</c:v>
                </c:pt>
                <c:pt idx="13">
                  <c:v>2.5239999999999999E-2</c:v>
                </c:pt>
                <c:pt idx="14">
                  <c:v>2.4160000000000001E-2</c:v>
                </c:pt>
                <c:pt idx="15">
                  <c:v>2.3199999999999998E-2</c:v>
                </c:pt>
                <c:pt idx="16">
                  <c:v>2.232E-2</c:v>
                </c:pt>
                <c:pt idx="17">
                  <c:v>2.155E-2</c:v>
                </c:pt>
                <c:pt idx="18">
                  <c:v>2.087E-2</c:v>
                </c:pt>
                <c:pt idx="19">
                  <c:v>2.0279999999999999E-2</c:v>
                </c:pt>
                <c:pt idx="20">
                  <c:v>1.976E-2</c:v>
                </c:pt>
                <c:pt idx="21">
                  <c:v>1.9310000000000001E-2</c:v>
                </c:pt>
                <c:pt idx="22">
                  <c:v>1.8919999999999999E-2</c:v>
                </c:pt>
                <c:pt idx="23">
                  <c:v>1.8589999999999999E-2</c:v>
                </c:pt>
                <c:pt idx="24">
                  <c:v>1.83E-2</c:v>
                </c:pt>
                <c:pt idx="25">
                  <c:v>1.805E-2</c:v>
                </c:pt>
                <c:pt idx="26">
                  <c:v>1.7840000000000002E-2</c:v>
                </c:pt>
                <c:pt idx="27">
                  <c:v>1.7670000000000002E-2</c:v>
                </c:pt>
                <c:pt idx="28">
                  <c:v>1.7510000000000001E-2</c:v>
                </c:pt>
                <c:pt idx="29">
                  <c:v>1.7389999999999999E-2</c:v>
                </c:pt>
                <c:pt idx="30">
                  <c:v>1.728E-2</c:v>
                </c:pt>
                <c:pt idx="31">
                  <c:v>1.7180000000000001E-2</c:v>
                </c:pt>
                <c:pt idx="32">
                  <c:v>1.7059999999999999E-2</c:v>
                </c:pt>
                <c:pt idx="33">
                  <c:v>1.694E-2</c:v>
                </c:pt>
                <c:pt idx="34">
                  <c:v>1.6789999999999999E-2</c:v>
                </c:pt>
                <c:pt idx="35">
                  <c:v>1.66E-2</c:v>
                </c:pt>
                <c:pt idx="36">
                  <c:v>1.627E-2</c:v>
                </c:pt>
                <c:pt idx="37">
                  <c:v>1.5350000000000001E-2</c:v>
                </c:pt>
                <c:pt idx="38">
                  <c:v>1.457E-2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81-49BB-BCBA-DC6C4AD05542}"/>
            </c:ext>
          </c:extLst>
        </c:ser>
        <c:ser>
          <c:idx val="1"/>
          <c:order val="1"/>
          <c:tx>
            <c:v>限值</c:v>
          </c:tx>
          <c:marker>
            <c:symbol val="none"/>
          </c:marker>
          <c:xVal>
            <c:numRef>
              <c:f>ref!$C$7:$C$45</c:f>
              <c:numCache>
                <c:formatCode>0.00%</c:formatCode>
                <c:ptCount val="39"/>
                <c:pt idx="0">
                  <c:v>1.6E-2</c:v>
                </c:pt>
                <c:pt idx="1">
                  <c:v>1.6E-2</c:v>
                </c:pt>
                <c:pt idx="2">
                  <c:v>1.6E-2</c:v>
                </c:pt>
                <c:pt idx="3">
                  <c:v>1.6E-2</c:v>
                </c:pt>
                <c:pt idx="4">
                  <c:v>1.6E-2</c:v>
                </c:pt>
                <c:pt idx="5">
                  <c:v>1.6E-2</c:v>
                </c:pt>
                <c:pt idx="6">
                  <c:v>1.6E-2</c:v>
                </c:pt>
                <c:pt idx="7">
                  <c:v>1.6E-2</c:v>
                </c:pt>
                <c:pt idx="8">
                  <c:v>1.6E-2</c:v>
                </c:pt>
                <c:pt idx="9">
                  <c:v>1.6E-2</c:v>
                </c:pt>
                <c:pt idx="10">
                  <c:v>1.6E-2</c:v>
                </c:pt>
                <c:pt idx="11">
                  <c:v>1.6E-2</c:v>
                </c:pt>
                <c:pt idx="12">
                  <c:v>1.6E-2</c:v>
                </c:pt>
                <c:pt idx="13">
                  <c:v>1.6E-2</c:v>
                </c:pt>
                <c:pt idx="14">
                  <c:v>1.6E-2</c:v>
                </c:pt>
                <c:pt idx="15">
                  <c:v>1.6E-2</c:v>
                </c:pt>
                <c:pt idx="16">
                  <c:v>1.6E-2</c:v>
                </c:pt>
                <c:pt idx="17">
                  <c:v>1.6E-2</c:v>
                </c:pt>
                <c:pt idx="18">
                  <c:v>1.6E-2</c:v>
                </c:pt>
                <c:pt idx="19">
                  <c:v>1.6E-2</c:v>
                </c:pt>
                <c:pt idx="20">
                  <c:v>1.6E-2</c:v>
                </c:pt>
                <c:pt idx="21">
                  <c:v>1.6E-2</c:v>
                </c:pt>
                <c:pt idx="22">
                  <c:v>1.6E-2</c:v>
                </c:pt>
                <c:pt idx="23">
                  <c:v>1.6E-2</c:v>
                </c:pt>
                <c:pt idx="24">
                  <c:v>1.6E-2</c:v>
                </c:pt>
                <c:pt idx="25">
                  <c:v>1.6E-2</c:v>
                </c:pt>
                <c:pt idx="26">
                  <c:v>1.6E-2</c:v>
                </c:pt>
                <c:pt idx="27">
                  <c:v>1.6E-2</c:v>
                </c:pt>
                <c:pt idx="28">
                  <c:v>1.6E-2</c:v>
                </c:pt>
                <c:pt idx="29">
                  <c:v>1.6E-2</c:v>
                </c:pt>
                <c:pt idx="30">
                  <c:v>1.6E-2</c:v>
                </c:pt>
                <c:pt idx="31">
                  <c:v>1.6E-2</c:v>
                </c:pt>
                <c:pt idx="32">
                  <c:v>1.6E-2</c:v>
                </c:pt>
                <c:pt idx="33">
                  <c:v>1.6E-2</c:v>
                </c:pt>
                <c:pt idx="34">
                  <c:v>1.6E-2</c:v>
                </c:pt>
                <c:pt idx="35">
                  <c:v>1.6E-2</c:v>
                </c:pt>
                <c:pt idx="36">
                  <c:v>1.6E-2</c:v>
                </c:pt>
                <c:pt idx="37">
                  <c:v>1.6E-2</c:v>
                </c:pt>
                <c:pt idx="38">
                  <c:v>1.6E-2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81-49BB-BCBA-DC6C4AD05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289791"/>
        <c:axId val="1440291871"/>
      </c:scatterChart>
      <c:valAx>
        <c:axId val="1440289791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440291871"/>
        <c:crosses val="autoZero"/>
        <c:crossBetween val="midCat"/>
      </c:valAx>
      <c:valAx>
        <c:axId val="144029187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289791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Y 向剪重比</c:v>
          </c:tx>
          <c:marker>
            <c:symbol val="none"/>
          </c:marker>
          <c:xVal>
            <c:numRef>
              <c:f>Sheet1!$P$7:$P$45</c:f>
              <c:numCache>
                <c:formatCode>0.00%</c:formatCode>
                <c:ptCount val="39"/>
                <c:pt idx="0">
                  <c:v>0.13300000000000001</c:v>
                </c:pt>
                <c:pt idx="1">
                  <c:v>8.2839999999999997E-2</c:v>
                </c:pt>
                <c:pt idx="2">
                  <c:v>7.2230000000000003E-2</c:v>
                </c:pt>
                <c:pt idx="3">
                  <c:v>6.386E-2</c:v>
                </c:pt>
                <c:pt idx="4">
                  <c:v>5.6809999999999999E-2</c:v>
                </c:pt>
                <c:pt idx="5">
                  <c:v>5.0939999999999999E-2</c:v>
                </c:pt>
                <c:pt idx="6">
                  <c:v>4.614E-2</c:v>
                </c:pt>
                <c:pt idx="7">
                  <c:v>4.2200000000000001E-2</c:v>
                </c:pt>
                <c:pt idx="8">
                  <c:v>3.8890000000000001E-2</c:v>
                </c:pt>
                <c:pt idx="9">
                  <c:v>3.6069999999999998E-2</c:v>
                </c:pt>
                <c:pt idx="10">
                  <c:v>3.3450000000000001E-2</c:v>
                </c:pt>
                <c:pt idx="11">
                  <c:v>3.108E-2</c:v>
                </c:pt>
                <c:pt idx="12">
                  <c:v>2.896E-2</c:v>
                </c:pt>
                <c:pt idx="13">
                  <c:v>2.7119999999999998E-2</c:v>
                </c:pt>
                <c:pt idx="14">
                  <c:v>2.5569999999999999E-2</c:v>
                </c:pt>
                <c:pt idx="15">
                  <c:v>2.427E-2</c:v>
                </c:pt>
                <c:pt idx="16">
                  <c:v>2.3199999999999998E-2</c:v>
                </c:pt>
                <c:pt idx="17">
                  <c:v>2.2329999999999999E-2</c:v>
                </c:pt>
                <c:pt idx="18">
                  <c:v>2.162E-2</c:v>
                </c:pt>
                <c:pt idx="19">
                  <c:v>2.1059999999999999E-2</c:v>
                </c:pt>
                <c:pt idx="20">
                  <c:v>2.0619999999999999E-2</c:v>
                </c:pt>
                <c:pt idx="21">
                  <c:v>2.0289999999999999E-2</c:v>
                </c:pt>
                <c:pt idx="22">
                  <c:v>2.0049999999999998E-2</c:v>
                </c:pt>
                <c:pt idx="23">
                  <c:v>1.9879999999999998E-2</c:v>
                </c:pt>
                <c:pt idx="24">
                  <c:v>1.9779999999999999E-2</c:v>
                </c:pt>
                <c:pt idx="25">
                  <c:v>1.9740000000000001E-2</c:v>
                </c:pt>
                <c:pt idx="26">
                  <c:v>1.9740000000000001E-2</c:v>
                </c:pt>
                <c:pt idx="27">
                  <c:v>1.976E-2</c:v>
                </c:pt>
                <c:pt idx="28">
                  <c:v>1.9789999999999999E-2</c:v>
                </c:pt>
                <c:pt idx="29">
                  <c:v>1.9810000000000001E-2</c:v>
                </c:pt>
                <c:pt idx="30">
                  <c:v>1.9820000000000001E-2</c:v>
                </c:pt>
                <c:pt idx="31">
                  <c:v>1.9820000000000001E-2</c:v>
                </c:pt>
                <c:pt idx="32">
                  <c:v>1.9800000000000002E-2</c:v>
                </c:pt>
                <c:pt idx="33">
                  <c:v>1.9740000000000001E-2</c:v>
                </c:pt>
                <c:pt idx="34">
                  <c:v>1.9640000000000001E-2</c:v>
                </c:pt>
                <c:pt idx="35">
                  <c:v>1.949E-2</c:v>
                </c:pt>
                <c:pt idx="36">
                  <c:v>1.924E-2</c:v>
                </c:pt>
                <c:pt idx="37">
                  <c:v>1.84E-2</c:v>
                </c:pt>
                <c:pt idx="38">
                  <c:v>1.746E-2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BD-497C-864D-92D2D383D892}"/>
            </c:ext>
          </c:extLst>
        </c:ser>
        <c:ser>
          <c:idx val="1"/>
          <c:order val="1"/>
          <c:tx>
            <c:v>限值</c:v>
          </c:tx>
          <c:marker>
            <c:symbol val="none"/>
          </c:marker>
          <c:xVal>
            <c:numRef>
              <c:f>ref!$D$7:$D$45</c:f>
              <c:numCache>
                <c:formatCode>0.00%</c:formatCode>
                <c:ptCount val="39"/>
                <c:pt idx="0">
                  <c:v>1.6E-2</c:v>
                </c:pt>
                <c:pt idx="1">
                  <c:v>1.6E-2</c:v>
                </c:pt>
                <c:pt idx="2">
                  <c:v>1.6E-2</c:v>
                </c:pt>
                <c:pt idx="3">
                  <c:v>1.6E-2</c:v>
                </c:pt>
                <c:pt idx="4">
                  <c:v>1.6E-2</c:v>
                </c:pt>
                <c:pt idx="5">
                  <c:v>1.6E-2</c:v>
                </c:pt>
                <c:pt idx="6">
                  <c:v>1.6E-2</c:v>
                </c:pt>
                <c:pt idx="7">
                  <c:v>1.6E-2</c:v>
                </c:pt>
                <c:pt idx="8">
                  <c:v>1.6E-2</c:v>
                </c:pt>
                <c:pt idx="9">
                  <c:v>1.6E-2</c:v>
                </c:pt>
                <c:pt idx="10">
                  <c:v>1.6E-2</c:v>
                </c:pt>
                <c:pt idx="11">
                  <c:v>1.6E-2</c:v>
                </c:pt>
                <c:pt idx="12">
                  <c:v>1.6E-2</c:v>
                </c:pt>
                <c:pt idx="13">
                  <c:v>1.6E-2</c:v>
                </c:pt>
                <c:pt idx="14">
                  <c:v>1.6E-2</c:v>
                </c:pt>
                <c:pt idx="15">
                  <c:v>1.6E-2</c:v>
                </c:pt>
                <c:pt idx="16">
                  <c:v>1.6E-2</c:v>
                </c:pt>
                <c:pt idx="17">
                  <c:v>1.6E-2</c:v>
                </c:pt>
                <c:pt idx="18">
                  <c:v>1.6E-2</c:v>
                </c:pt>
                <c:pt idx="19">
                  <c:v>1.6E-2</c:v>
                </c:pt>
                <c:pt idx="20">
                  <c:v>1.6E-2</c:v>
                </c:pt>
                <c:pt idx="21">
                  <c:v>1.6E-2</c:v>
                </c:pt>
                <c:pt idx="22">
                  <c:v>1.6E-2</c:v>
                </c:pt>
                <c:pt idx="23">
                  <c:v>1.6E-2</c:v>
                </c:pt>
                <c:pt idx="24">
                  <c:v>1.6E-2</c:v>
                </c:pt>
                <c:pt idx="25">
                  <c:v>1.6E-2</c:v>
                </c:pt>
                <c:pt idx="26">
                  <c:v>1.6E-2</c:v>
                </c:pt>
                <c:pt idx="27">
                  <c:v>1.6E-2</c:v>
                </c:pt>
                <c:pt idx="28">
                  <c:v>1.6E-2</c:v>
                </c:pt>
                <c:pt idx="29">
                  <c:v>1.6E-2</c:v>
                </c:pt>
                <c:pt idx="30">
                  <c:v>1.6E-2</c:v>
                </c:pt>
                <c:pt idx="31">
                  <c:v>1.6E-2</c:v>
                </c:pt>
                <c:pt idx="32">
                  <c:v>1.6E-2</c:v>
                </c:pt>
                <c:pt idx="33">
                  <c:v>1.6E-2</c:v>
                </c:pt>
                <c:pt idx="34">
                  <c:v>1.6E-2</c:v>
                </c:pt>
                <c:pt idx="35">
                  <c:v>1.6E-2</c:v>
                </c:pt>
                <c:pt idx="36">
                  <c:v>1.6E-2</c:v>
                </c:pt>
                <c:pt idx="37">
                  <c:v>1.6E-2</c:v>
                </c:pt>
                <c:pt idx="38">
                  <c:v>1.6E-2</c:v>
                </c:pt>
              </c:numCache>
            </c:numRef>
          </c:xVal>
          <c:yVal>
            <c:numRef>
              <c:f>Sheet1!$B$7:$B$45</c:f>
              <c:numCache>
                <c:formatCode>General</c:formatCode>
                <c:ptCount val="39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26</c:v>
                </c:pt>
                <c:pt idx="14">
                  <c:v>25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15</c:v>
                </c:pt>
                <c:pt idx="25">
                  <c:v>14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BD-497C-864D-92D2D383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7538895"/>
        <c:axId val="1447542223"/>
      </c:scatterChart>
      <c:valAx>
        <c:axId val="1447538895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447542223"/>
        <c:crosses val="autoZero"/>
        <c:crossBetween val="midCat"/>
      </c:valAx>
      <c:valAx>
        <c:axId val="144754222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7538895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0</xdr:rowOff>
        </xdr:from>
        <xdr:to>
          <xdr:col>0</xdr:col>
          <xdr:colOff>619125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生成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27</xdr:row>
          <xdr:rowOff>0</xdr:rowOff>
        </xdr:from>
        <xdr:to>
          <xdr:col>0</xdr:col>
          <xdr:colOff>619125</xdr:colOff>
          <xdr:row>28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保存 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635000</xdr:colOff>
      <xdr:row>48</xdr:row>
      <xdr:rowOff>66675</xdr:rowOff>
    </xdr:from>
    <xdr:to>
      <xdr:col>3</xdr:col>
      <xdr:colOff>1117600</xdr:colOff>
      <xdr:row>69</xdr:row>
      <xdr:rowOff>76200</xdr:rowOff>
    </xdr:to>
    <xdr:graphicFrame macro="">
      <xdr:nvGraphicFramePr>
        <xdr:cNvPr id="28" name="单位面积质量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1117600</xdr:colOff>
      <xdr:row>48</xdr:row>
      <xdr:rowOff>66675</xdr:rowOff>
    </xdr:from>
    <xdr:to>
      <xdr:col>7</xdr:col>
      <xdr:colOff>438150</xdr:colOff>
      <xdr:row>69</xdr:row>
      <xdr:rowOff>76200</xdr:rowOff>
    </xdr:to>
    <xdr:graphicFrame macro="">
      <xdr:nvGraphicFramePr>
        <xdr:cNvPr id="29" name="Ratx1=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438150</xdr:colOff>
      <xdr:row>48</xdr:row>
      <xdr:rowOff>66675</xdr:rowOff>
    </xdr:from>
    <xdr:to>
      <xdr:col>10</xdr:col>
      <xdr:colOff>701675</xdr:colOff>
      <xdr:row>69</xdr:row>
      <xdr:rowOff>76200</xdr:rowOff>
    </xdr:to>
    <xdr:graphicFrame macro="">
      <xdr:nvGraphicFramePr>
        <xdr:cNvPr id="30" name="Raty1=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701675</xdr:colOff>
      <xdr:row>48</xdr:row>
      <xdr:rowOff>66675</xdr:rowOff>
    </xdr:from>
    <xdr:to>
      <xdr:col>14</xdr:col>
      <xdr:colOff>127000</xdr:colOff>
      <xdr:row>69</xdr:row>
      <xdr:rowOff>76200</xdr:rowOff>
    </xdr:to>
    <xdr:graphicFrame macro="">
      <xdr:nvGraphicFramePr>
        <xdr:cNvPr id="31" name="Ratx2=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701675</xdr:colOff>
      <xdr:row>48</xdr:row>
      <xdr:rowOff>66675</xdr:rowOff>
    </xdr:from>
    <xdr:to>
      <xdr:col>14</xdr:col>
      <xdr:colOff>127000</xdr:colOff>
      <xdr:row>69</xdr:row>
      <xdr:rowOff>76200</xdr:rowOff>
    </xdr:to>
    <xdr:graphicFrame macro="">
      <xdr:nvGraphicFramePr>
        <xdr:cNvPr id="32" name="Raty2=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127000</xdr:colOff>
      <xdr:row>48</xdr:row>
      <xdr:rowOff>66675</xdr:rowOff>
    </xdr:from>
    <xdr:to>
      <xdr:col>17</xdr:col>
      <xdr:colOff>190500</xdr:colOff>
      <xdr:row>69</xdr:row>
      <xdr:rowOff>76200</xdr:rowOff>
    </xdr:to>
    <xdr:graphicFrame macro="">
      <xdr:nvGraphicFramePr>
        <xdr:cNvPr id="33" name="Ratio_X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190500</xdr:colOff>
      <xdr:row>48</xdr:row>
      <xdr:rowOff>66675</xdr:rowOff>
    </xdr:from>
    <xdr:to>
      <xdr:col>19</xdr:col>
      <xdr:colOff>806450</xdr:colOff>
      <xdr:row>69</xdr:row>
      <xdr:rowOff>76200</xdr:rowOff>
    </xdr:to>
    <xdr:graphicFrame macro="">
      <xdr:nvGraphicFramePr>
        <xdr:cNvPr id="34" name="Ratio_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635000</xdr:colOff>
      <xdr:row>69</xdr:row>
      <xdr:rowOff>76200</xdr:rowOff>
    </xdr:from>
    <xdr:to>
      <xdr:col>3</xdr:col>
      <xdr:colOff>1117600</xdr:colOff>
      <xdr:row>90</xdr:row>
      <xdr:rowOff>85725</xdr:rowOff>
    </xdr:to>
    <xdr:graphicFrame macro="">
      <xdr:nvGraphicFramePr>
        <xdr:cNvPr id="35" name="X 向剪重比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1117600</xdr:colOff>
      <xdr:row>69</xdr:row>
      <xdr:rowOff>76200</xdr:rowOff>
    </xdr:from>
    <xdr:to>
      <xdr:col>7</xdr:col>
      <xdr:colOff>438150</xdr:colOff>
      <xdr:row>90</xdr:row>
      <xdr:rowOff>85725</xdr:rowOff>
    </xdr:to>
    <xdr:graphicFrame macro="">
      <xdr:nvGraphicFramePr>
        <xdr:cNvPr id="36" name="Y 向剪重比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438150</xdr:colOff>
      <xdr:row>69</xdr:row>
      <xdr:rowOff>76200</xdr:rowOff>
    </xdr:from>
    <xdr:to>
      <xdr:col>10</xdr:col>
      <xdr:colOff>701675</xdr:colOff>
      <xdr:row>90</xdr:row>
      <xdr:rowOff>85725</xdr:rowOff>
    </xdr:to>
    <xdr:graphicFrame macro="">
      <xdr:nvGraphicFramePr>
        <xdr:cNvPr id="37" name="X方向地震层间位移角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701675</xdr:colOff>
      <xdr:row>69</xdr:row>
      <xdr:rowOff>76200</xdr:rowOff>
    </xdr:from>
    <xdr:to>
      <xdr:col>14</xdr:col>
      <xdr:colOff>127000</xdr:colOff>
      <xdr:row>90</xdr:row>
      <xdr:rowOff>85725</xdr:rowOff>
    </xdr:to>
    <xdr:graphicFrame macro="">
      <xdr:nvGraphicFramePr>
        <xdr:cNvPr id="38" name="Y方向地震层间位移角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127000</xdr:colOff>
      <xdr:row>69</xdr:row>
      <xdr:rowOff>76200</xdr:rowOff>
    </xdr:from>
    <xdr:to>
      <xdr:col>17</xdr:col>
      <xdr:colOff>190500</xdr:colOff>
      <xdr:row>90</xdr:row>
      <xdr:rowOff>85725</xdr:rowOff>
    </xdr:to>
    <xdr:graphicFrame macro="">
      <xdr:nvGraphicFramePr>
        <xdr:cNvPr id="39" name="+X 方向风荷载层间位移角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190500</xdr:colOff>
      <xdr:row>69</xdr:row>
      <xdr:rowOff>76200</xdr:rowOff>
    </xdr:from>
    <xdr:to>
      <xdr:col>19</xdr:col>
      <xdr:colOff>806450</xdr:colOff>
      <xdr:row>90</xdr:row>
      <xdr:rowOff>85725</xdr:rowOff>
    </xdr:to>
    <xdr:graphicFrame macro="">
      <xdr:nvGraphicFramePr>
        <xdr:cNvPr id="40" name="+Y 方向风荷载层间位移角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59</xdr:row>
          <xdr:rowOff>0</xdr:rowOff>
        </xdr:from>
        <xdr:to>
          <xdr:col>0</xdr:col>
          <xdr:colOff>619125</xdr:colOff>
          <xdr:row>60</xdr:row>
          <xdr:rowOff>133350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生成 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W100"/>
  <sheetViews>
    <sheetView tabSelected="1" zoomScale="90" zoomScaleNormal="90" workbookViewId="0">
      <selection activeCell="B1" sqref="B1"/>
    </sheetView>
  </sheetViews>
  <sheetFormatPr defaultRowHeight="14.25" x14ac:dyDescent="0.2"/>
  <cols>
    <col min="1" max="1" width="9" style="9" customWidth="1"/>
    <col min="2" max="3" width="9" style="2"/>
    <col min="4" max="4" width="15.25" style="2" customWidth="1"/>
    <col min="5" max="5" width="9" style="11"/>
    <col min="6" max="6" width="9" style="30"/>
    <col min="7" max="8" width="9" style="3"/>
    <col min="9" max="9" width="9" style="33"/>
    <col min="10" max="10" width="11.875" style="34" customWidth="1"/>
    <col min="11" max="11" width="9.5" style="30" customWidth="1"/>
    <col min="12" max="12" width="9" style="3"/>
    <col min="13" max="13" width="9.25" style="5" customWidth="1"/>
    <col min="14" max="14" width="13.125" style="35" customWidth="1"/>
    <col min="15" max="15" width="10.125" style="37" customWidth="1"/>
    <col min="16" max="16" width="9.75" style="38" customWidth="1"/>
    <col min="17" max="18" width="12.625" style="40" customWidth="1"/>
    <col min="19" max="19" width="12.625" style="4" customWidth="1"/>
    <col min="20" max="20" width="12.625" style="41" customWidth="1"/>
    <col min="21" max="21" width="12.625" style="5" customWidth="1"/>
    <col min="22" max="22" width="12.625" style="6" customWidth="1"/>
    <col min="23" max="23" width="9" style="11"/>
    <col min="24" max="16384" width="9" style="2"/>
  </cols>
  <sheetData>
    <row r="1" spans="1:23" ht="41.25" customHeight="1" x14ac:dyDescent="0.2">
      <c r="B1" s="15" t="s">
        <v>56</v>
      </c>
      <c r="C1" s="16"/>
      <c r="D1" s="16"/>
      <c r="E1" s="50" t="s">
        <v>13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s="7" customFormat="1" ht="24.75" customHeight="1" x14ac:dyDescent="0.2">
      <c r="A2" s="10"/>
      <c r="B2" s="22" t="s">
        <v>64</v>
      </c>
      <c r="C2" s="23"/>
      <c r="D2" s="24"/>
      <c r="E2" s="44" t="s">
        <v>10</v>
      </c>
      <c r="F2" s="52" t="s">
        <v>5</v>
      </c>
      <c r="G2" s="53"/>
      <c r="H2" s="53"/>
      <c r="I2" s="54"/>
      <c r="J2" s="29" t="s">
        <v>7</v>
      </c>
      <c r="K2" s="55" t="s">
        <v>6</v>
      </c>
      <c r="L2" s="55"/>
      <c r="M2" s="58" t="s">
        <v>4</v>
      </c>
      <c r="N2" s="58"/>
      <c r="O2" s="59" t="s">
        <v>8</v>
      </c>
      <c r="P2" s="59"/>
      <c r="Q2" s="60" t="s">
        <v>12</v>
      </c>
      <c r="R2" s="61"/>
      <c r="S2" s="61"/>
      <c r="T2" s="62"/>
      <c r="U2" s="58" t="s">
        <v>3</v>
      </c>
      <c r="V2" s="58"/>
      <c r="W2" s="19" t="s">
        <v>9</v>
      </c>
    </row>
    <row r="3" spans="1:23" s="7" customFormat="1" ht="14.25" customHeight="1" x14ac:dyDescent="0.2">
      <c r="A3" s="10"/>
      <c r="B3"/>
      <c r="C3"/>
      <c r="D3"/>
      <c r="E3" s="31"/>
      <c r="F3" s="28"/>
      <c r="G3"/>
      <c r="H3"/>
      <c r="I3"/>
      <c r="J3" s="28"/>
      <c r="K3" s="28"/>
      <c r="L3"/>
      <c r="M3" s="28"/>
      <c r="N3"/>
      <c r="O3" s="36"/>
      <c r="P3" s="26"/>
      <c r="Q3" s="39"/>
      <c r="R3" s="39"/>
      <c r="S3" s="25"/>
      <c r="T3" s="25"/>
      <c r="U3" s="42"/>
      <c r="V3" s="8"/>
      <c r="W3" s="56" t="s">
        <v>11</v>
      </c>
    </row>
    <row r="4" spans="1:23" s="13" customFormat="1" ht="14.25" customHeight="1" x14ac:dyDescent="0.2">
      <c r="A4" s="12"/>
      <c r="B4"/>
      <c r="C4"/>
      <c r="D4"/>
      <c r="E4" s="31"/>
      <c r="F4" s="28"/>
      <c r="G4"/>
      <c r="H4" t="s">
        <v>22</v>
      </c>
      <c r="I4" t="s">
        <v>0</v>
      </c>
      <c r="J4" s="28"/>
      <c r="K4" s="28"/>
      <c r="L4"/>
      <c r="M4" s="28"/>
      <c r="N4"/>
      <c r="O4" s="36" t="s">
        <v>40</v>
      </c>
      <c r="P4" s="26" t="s">
        <v>39</v>
      </c>
      <c r="Q4" s="39"/>
      <c r="R4" s="39"/>
      <c r="S4" s="25"/>
      <c r="T4" s="25"/>
      <c r="U4" s="43"/>
      <c r="V4" s="14"/>
      <c r="W4" s="57"/>
    </row>
    <row r="5" spans="1:23" ht="14.25" customHeight="1" x14ac:dyDescent="0.2">
      <c r="A5" s="48" t="s">
        <v>45</v>
      </c>
      <c r="B5"/>
      <c r="C5"/>
      <c r="D5"/>
      <c r="E5" s="31"/>
      <c r="F5" s="28"/>
      <c r="G5"/>
      <c r="H5" t="s">
        <v>48</v>
      </c>
      <c r="I5" t="s">
        <v>48</v>
      </c>
      <c r="J5" s="28"/>
      <c r="K5" s="28"/>
      <c r="L5"/>
      <c r="M5" s="28"/>
      <c r="N5"/>
      <c r="O5" s="36">
        <v>1.6E-2</v>
      </c>
      <c r="P5" s="26">
        <v>1.6E-2</v>
      </c>
      <c r="Q5" s="39" t="s">
        <v>60</v>
      </c>
      <c r="R5" s="39" t="s">
        <v>61</v>
      </c>
      <c r="S5" s="25" t="s">
        <v>62</v>
      </c>
      <c r="T5" s="25" t="s">
        <v>63</v>
      </c>
      <c r="W5" s="57"/>
    </row>
    <row r="6" spans="1:23" x14ac:dyDescent="0.2">
      <c r="A6" s="49"/>
      <c r="B6" s="27" t="s">
        <v>14</v>
      </c>
      <c r="C6" s="27" t="s">
        <v>15</v>
      </c>
      <c r="D6" s="27" t="s">
        <v>16</v>
      </c>
      <c r="E6" s="32" t="s">
        <v>17</v>
      </c>
      <c r="F6" s="28" t="s">
        <v>18</v>
      </c>
      <c r="G6" t="s">
        <v>19</v>
      </c>
      <c r="H6" t="s">
        <v>20</v>
      </c>
      <c r="I6" t="s">
        <v>21</v>
      </c>
      <c r="J6" s="28" t="s">
        <v>57</v>
      </c>
      <c r="K6" s="28" t="s">
        <v>25</v>
      </c>
      <c r="L6" t="s">
        <v>26</v>
      </c>
      <c r="M6" s="28" t="s">
        <v>27</v>
      </c>
      <c r="N6" t="s">
        <v>28</v>
      </c>
      <c r="O6" s="36" t="s">
        <v>31</v>
      </c>
      <c r="P6" s="26" t="s">
        <v>32</v>
      </c>
      <c r="Q6" s="39" t="s">
        <v>33</v>
      </c>
      <c r="R6" s="39" t="s">
        <v>36</v>
      </c>
      <c r="S6" s="25" t="s">
        <v>34</v>
      </c>
      <c r="T6" s="25" t="s">
        <v>35</v>
      </c>
      <c r="U6" s="5" t="s">
        <v>37</v>
      </c>
      <c r="V6" s="6" t="s">
        <v>38</v>
      </c>
      <c r="W6" s="57"/>
    </row>
    <row r="7" spans="1:23" x14ac:dyDescent="0.2">
      <c r="A7" s="49"/>
      <c r="B7">
        <v>39</v>
      </c>
      <c r="C7">
        <v>4.3499999999999996</v>
      </c>
      <c r="D7">
        <v>1305.83</v>
      </c>
      <c r="E7" s="31">
        <v>0.6</v>
      </c>
      <c r="F7" s="28">
        <v>1</v>
      </c>
      <c r="G7">
        <v>1</v>
      </c>
      <c r="H7">
        <v>1</v>
      </c>
      <c r="I7">
        <v>1</v>
      </c>
      <c r="J7" s="28" t="s">
        <v>58</v>
      </c>
      <c r="K7" s="28">
        <v>1</v>
      </c>
      <c r="L7">
        <v>1</v>
      </c>
      <c r="M7" s="28">
        <v>3.0604</v>
      </c>
      <c r="N7" t="s">
        <v>49</v>
      </c>
      <c r="O7" s="36">
        <v>8.4400000000000003E-2</v>
      </c>
      <c r="P7" s="26">
        <v>0.13300000000000001</v>
      </c>
      <c r="Q7" s="39">
        <f>1/2664</f>
        <v>3.7537537537537537E-4</v>
      </c>
      <c r="R7" s="39">
        <f>1/1373</f>
        <v>7.2833211944646763E-4</v>
      </c>
      <c r="S7" s="25">
        <f>1/2374</f>
        <v>4.2122999157540015E-4</v>
      </c>
      <c r="T7" s="25">
        <f>1/760</f>
        <v>1.3157894736842105E-3</v>
      </c>
      <c r="U7" s="5">
        <v>1.19</v>
      </c>
      <c r="V7" s="6">
        <v>1.03</v>
      </c>
      <c r="W7" s="57"/>
    </row>
    <row r="8" spans="1:23" x14ac:dyDescent="0.2">
      <c r="A8" s="49"/>
      <c r="B8">
        <v>38</v>
      </c>
      <c r="C8">
        <v>3.3</v>
      </c>
      <c r="D8">
        <v>2173.0300000000002</v>
      </c>
      <c r="E8" s="31">
        <v>1.66</v>
      </c>
      <c r="F8" s="28">
        <v>5.9820000000000002</v>
      </c>
      <c r="G8">
        <v>5.2378999999999998</v>
      </c>
      <c r="H8">
        <v>3.5295999999999998</v>
      </c>
      <c r="I8">
        <v>3.0905999999999998</v>
      </c>
      <c r="J8" s="28" t="s">
        <v>23</v>
      </c>
      <c r="K8" s="28">
        <v>1.75</v>
      </c>
      <c r="L8">
        <v>4.8499999999999996</v>
      </c>
      <c r="M8" s="28">
        <v>2.4392</v>
      </c>
      <c r="N8" t="s">
        <v>52</v>
      </c>
      <c r="O8" s="36">
        <v>5.9799999999999999E-2</v>
      </c>
      <c r="P8" s="26">
        <v>8.2839999999999997E-2</v>
      </c>
      <c r="Q8" s="39">
        <f>1/2759</f>
        <v>3.6245016310257339E-4</v>
      </c>
      <c r="R8" s="39">
        <f>1/1409</f>
        <v>7.0972320794889996E-4</v>
      </c>
      <c r="S8" s="25">
        <f>1/3470</f>
        <v>2.8818443804034583E-4</v>
      </c>
      <c r="T8" s="25">
        <f>1/813</f>
        <v>1.2300123001230013E-3</v>
      </c>
      <c r="U8" s="5">
        <v>1.1599999999999999</v>
      </c>
      <c r="V8" s="6">
        <v>1.1000000000000001</v>
      </c>
      <c r="W8" s="57"/>
    </row>
    <row r="9" spans="1:23" x14ac:dyDescent="0.2">
      <c r="A9" s="49"/>
      <c r="B9">
        <v>37</v>
      </c>
      <c r="C9">
        <v>3.15</v>
      </c>
      <c r="D9">
        <v>1800.75</v>
      </c>
      <c r="E9" s="31">
        <v>1</v>
      </c>
      <c r="F9" s="28">
        <v>2.2336999999999998</v>
      </c>
      <c r="G9">
        <v>2.1120999999999999</v>
      </c>
      <c r="H9">
        <v>1.6583000000000001</v>
      </c>
      <c r="I9">
        <v>1.5681</v>
      </c>
      <c r="J9" s="28" t="s">
        <v>24</v>
      </c>
      <c r="K9" s="28">
        <v>1.41</v>
      </c>
      <c r="L9">
        <v>1.02</v>
      </c>
      <c r="M9" s="28">
        <v>1.3130999999999999</v>
      </c>
      <c r="N9" t="s">
        <v>53</v>
      </c>
      <c r="O9" s="36">
        <v>5.2839999999999998E-2</v>
      </c>
      <c r="P9" s="26">
        <v>7.2230000000000003E-2</v>
      </c>
      <c r="Q9" s="39">
        <f>1/2880</f>
        <v>3.4722222222222224E-4</v>
      </c>
      <c r="R9" s="39">
        <f>1/1411</f>
        <v>7.0871722182849046E-4</v>
      </c>
      <c r="S9" s="25">
        <f>1/3618</f>
        <v>2.7639579878385847E-4</v>
      </c>
      <c r="T9" s="25">
        <f>1/816</f>
        <v>1.2254901960784314E-3</v>
      </c>
      <c r="U9" s="5">
        <v>1.21</v>
      </c>
      <c r="V9" s="6">
        <v>1.07</v>
      </c>
      <c r="W9" s="57"/>
    </row>
    <row r="10" spans="1:23" x14ac:dyDescent="0.2">
      <c r="A10" s="49"/>
      <c r="B10">
        <v>36</v>
      </c>
      <c r="C10">
        <v>3.15</v>
      </c>
      <c r="D10">
        <v>1800.1</v>
      </c>
      <c r="E10" s="31">
        <v>1</v>
      </c>
      <c r="F10" s="28">
        <v>1.6964999999999999</v>
      </c>
      <c r="G10">
        <v>1.7351000000000001</v>
      </c>
      <c r="H10">
        <v>1.3194999999999999</v>
      </c>
      <c r="I10">
        <v>1.3494999999999999</v>
      </c>
      <c r="J10" s="28"/>
      <c r="K10" s="28">
        <v>1.02</v>
      </c>
      <c r="L10">
        <v>1.02</v>
      </c>
      <c r="M10" s="28">
        <v>0.70879999999999999</v>
      </c>
      <c r="N10" t="s">
        <v>54</v>
      </c>
      <c r="O10" s="36">
        <v>4.7359999999999999E-2</v>
      </c>
      <c r="P10" s="26">
        <v>6.386E-2</v>
      </c>
      <c r="Q10" s="39">
        <f>1/2805</f>
        <v>3.5650623885918003E-4</v>
      </c>
      <c r="R10" s="39">
        <f>1/1405</f>
        <v>7.1174377224199293E-4</v>
      </c>
      <c r="S10" s="25">
        <f>1/3545</f>
        <v>2.8208744710860365E-4</v>
      </c>
      <c r="T10" s="25">
        <f>1/815</f>
        <v>1.2269938650306749E-3</v>
      </c>
      <c r="W10" s="57"/>
    </row>
    <row r="11" spans="1:23" x14ac:dyDescent="0.2">
      <c r="A11" s="49"/>
      <c r="B11">
        <v>35</v>
      </c>
      <c r="C11">
        <v>3.15</v>
      </c>
      <c r="D11">
        <v>1800.1</v>
      </c>
      <c r="E11" s="31">
        <v>1</v>
      </c>
      <c r="F11" s="28">
        <v>1.5905</v>
      </c>
      <c r="G11">
        <v>1.6141000000000001</v>
      </c>
      <c r="H11">
        <v>1.2371000000000001</v>
      </c>
      <c r="I11">
        <v>1.2554000000000001</v>
      </c>
      <c r="J11" s="28"/>
      <c r="K11" s="28">
        <v>1.02</v>
      </c>
      <c r="L11">
        <v>1.02</v>
      </c>
      <c r="M11" s="28">
        <v>0.62560000000000004</v>
      </c>
      <c r="N11" t="s">
        <v>49</v>
      </c>
      <c r="O11" s="36">
        <v>4.2779999999999999E-2</v>
      </c>
      <c r="P11" s="26">
        <v>5.6809999999999999E-2</v>
      </c>
      <c r="Q11" s="39">
        <f>1/2719</f>
        <v>3.677822728944465E-4</v>
      </c>
      <c r="R11" s="39">
        <f>1/1400</f>
        <v>7.1428571428571429E-4</v>
      </c>
      <c r="S11" s="25">
        <f>1/3462</f>
        <v>2.8885037550548814E-4</v>
      </c>
      <c r="T11" s="25">
        <f>1/813</f>
        <v>1.2300123001230013E-3</v>
      </c>
      <c r="W11" s="57"/>
    </row>
    <row r="12" spans="1:23" x14ac:dyDescent="0.2">
      <c r="A12" s="49"/>
      <c r="B12">
        <v>34</v>
      </c>
      <c r="C12">
        <v>3.15</v>
      </c>
      <c r="D12">
        <v>1800.1</v>
      </c>
      <c r="E12" s="31">
        <v>1</v>
      </c>
      <c r="F12" s="28">
        <v>1.5239</v>
      </c>
      <c r="G12">
        <v>1.5535000000000001</v>
      </c>
      <c r="H12">
        <v>1.1986000000000001</v>
      </c>
      <c r="I12">
        <v>1.2081999999999999</v>
      </c>
      <c r="J12" s="28"/>
      <c r="K12" s="28">
        <v>1.02</v>
      </c>
      <c r="L12">
        <v>1.02</v>
      </c>
      <c r="M12" s="28" t="s">
        <v>29</v>
      </c>
      <c r="N12" s="1">
        <v>0.94769999999999999</v>
      </c>
      <c r="O12" s="36">
        <v>3.9039999999999998E-2</v>
      </c>
      <c r="P12" s="26">
        <v>5.0939999999999999E-2</v>
      </c>
      <c r="Q12" s="39">
        <f>1/2633</f>
        <v>3.7979491074819596E-4</v>
      </c>
      <c r="R12" s="39">
        <f>1/1396</f>
        <v>7.1633237822349568E-4</v>
      </c>
      <c r="S12" s="25">
        <f>1/3369</f>
        <v>2.9682398337785694E-4</v>
      </c>
      <c r="T12" s="25">
        <f>1/812</f>
        <v>1.2315270935960591E-3</v>
      </c>
      <c r="W12" s="57"/>
    </row>
    <row r="13" spans="1:23" x14ac:dyDescent="0.2">
      <c r="A13" s="49"/>
      <c r="B13">
        <v>33</v>
      </c>
      <c r="C13">
        <v>3.15</v>
      </c>
      <c r="D13">
        <v>1800.1</v>
      </c>
      <c r="E13" s="31">
        <v>1</v>
      </c>
      <c r="F13" s="28">
        <v>1.4434</v>
      </c>
      <c r="G13">
        <v>1.4618</v>
      </c>
      <c r="H13">
        <v>1.1801999999999999</v>
      </c>
      <c r="I13">
        <v>1.1839999999999999</v>
      </c>
      <c r="J13" s="28"/>
      <c r="K13" s="28">
        <v>1.02</v>
      </c>
      <c r="L13">
        <v>1.02</v>
      </c>
      <c r="M13" s="28" t="s">
        <v>30</v>
      </c>
      <c r="N13" s="1">
        <v>0.95430000000000004</v>
      </c>
      <c r="O13" s="36">
        <v>3.6150000000000002E-2</v>
      </c>
      <c r="P13" s="26">
        <v>4.614E-2</v>
      </c>
      <c r="Q13" s="39">
        <f>1/2554</f>
        <v>3.9154267815191856E-4</v>
      </c>
      <c r="R13" s="39">
        <f>1/1394</f>
        <v>7.173601147776184E-4</v>
      </c>
      <c r="S13" s="25">
        <f>1/3275</f>
        <v>3.0534351145038169E-4</v>
      </c>
      <c r="T13" s="25">
        <f>1/811</f>
        <v>1.2330456226880395E-3</v>
      </c>
      <c r="W13" s="57"/>
    </row>
    <row r="14" spans="1:23" x14ac:dyDescent="0.2">
      <c r="A14" s="49"/>
      <c r="B14">
        <v>32</v>
      </c>
      <c r="C14">
        <v>3.15</v>
      </c>
      <c r="D14">
        <v>1800.1</v>
      </c>
      <c r="E14" s="31">
        <v>1</v>
      </c>
      <c r="F14" s="28">
        <v>1.4039999999999999</v>
      </c>
      <c r="G14">
        <v>1.4096</v>
      </c>
      <c r="H14">
        <v>1.1708000000000001</v>
      </c>
      <c r="I14">
        <v>1.1700999999999999</v>
      </c>
      <c r="J14" s="28"/>
      <c r="K14" s="28">
        <v>1.02</v>
      </c>
      <c r="L14">
        <v>1.02</v>
      </c>
      <c r="M14" s="28" t="s">
        <v>59</v>
      </c>
      <c r="N14">
        <v>0.43</v>
      </c>
      <c r="O14" s="36">
        <v>3.3989999999999999E-2</v>
      </c>
      <c r="P14" s="26">
        <v>4.2200000000000001E-2</v>
      </c>
      <c r="Q14" s="39">
        <f>1/2484</f>
        <v>4.0257648953301127E-4</v>
      </c>
      <c r="R14" s="39">
        <f>1/1393</f>
        <v>7.1787508973438624E-4</v>
      </c>
      <c r="S14" s="25">
        <f>1/3184</f>
        <v>3.1407035175879397E-4</v>
      </c>
      <c r="T14" s="25">
        <f>1/810</f>
        <v>1.2345679012345679E-3</v>
      </c>
      <c r="W14" s="57"/>
    </row>
    <row r="15" spans="1:23" x14ac:dyDescent="0.2">
      <c r="A15" s="49"/>
      <c r="B15">
        <v>31</v>
      </c>
      <c r="C15">
        <v>3.15</v>
      </c>
      <c r="D15">
        <v>1800.1</v>
      </c>
      <c r="E15" s="31">
        <v>1.07</v>
      </c>
      <c r="F15" s="28">
        <v>1.3773</v>
      </c>
      <c r="G15">
        <v>1.3757999999999999</v>
      </c>
      <c r="H15">
        <v>1.1599999999999999</v>
      </c>
      <c r="I15">
        <v>1.1579999999999999</v>
      </c>
      <c r="J15" s="28"/>
      <c r="K15" s="28">
        <v>1.02</v>
      </c>
      <c r="L15">
        <v>1.02</v>
      </c>
      <c r="M15" s="28"/>
      <c r="N15"/>
      <c r="O15" s="36">
        <v>3.2250000000000001E-2</v>
      </c>
      <c r="P15" s="26">
        <v>3.8890000000000001E-2</v>
      </c>
      <c r="Q15" s="39">
        <f>1/2407</f>
        <v>4.1545492314083921E-4</v>
      </c>
      <c r="R15" s="39">
        <f>1/1392</f>
        <v>7.1839080459770114E-4</v>
      </c>
      <c r="S15" s="25">
        <f>1/3075</f>
        <v>3.2520325203252032E-4</v>
      </c>
      <c r="T15" s="25">
        <f>1/809</f>
        <v>1.2360939431396785E-3</v>
      </c>
    </row>
    <row r="16" spans="1:23" x14ac:dyDescent="0.2">
      <c r="A16" s="49"/>
      <c r="B16">
        <v>30</v>
      </c>
      <c r="C16">
        <v>3</v>
      </c>
      <c r="D16">
        <v>1683.18</v>
      </c>
      <c r="E16" s="31">
        <v>0.94</v>
      </c>
      <c r="F16" s="28">
        <v>1.4066000000000001</v>
      </c>
      <c r="G16">
        <v>1.4136</v>
      </c>
      <c r="H16">
        <v>1.1378999999999999</v>
      </c>
      <c r="I16">
        <v>1.1451</v>
      </c>
      <c r="J16" s="28"/>
      <c r="K16" s="28">
        <v>0.95</v>
      </c>
      <c r="L16">
        <v>0.96</v>
      </c>
      <c r="M16" s="28"/>
      <c r="N16"/>
      <c r="O16" s="36">
        <v>3.0710000000000001E-2</v>
      </c>
      <c r="P16" s="26">
        <v>3.6069999999999998E-2</v>
      </c>
      <c r="Q16" s="39">
        <f>1/2335</f>
        <v>4.2826552462526765E-4</v>
      </c>
      <c r="R16" s="39">
        <f>1/1391</f>
        <v>7.1890726096333576E-4</v>
      </c>
      <c r="S16" s="25">
        <f>1/2967</f>
        <v>3.370407819346141E-4</v>
      </c>
      <c r="T16" s="25">
        <f>1/807</f>
        <v>1.2391573729863693E-3</v>
      </c>
    </row>
    <row r="17" spans="1:20" x14ac:dyDescent="0.2">
      <c r="A17" s="49"/>
      <c r="B17">
        <v>29</v>
      </c>
      <c r="C17">
        <v>3.15</v>
      </c>
      <c r="D17">
        <v>1800.75</v>
      </c>
      <c r="E17" s="31">
        <v>1.07</v>
      </c>
      <c r="F17" s="28">
        <v>1.327</v>
      </c>
      <c r="G17">
        <v>1.3160000000000001</v>
      </c>
      <c r="H17">
        <v>1.1645000000000001</v>
      </c>
      <c r="I17">
        <v>1.1508</v>
      </c>
      <c r="J17" s="28"/>
      <c r="K17" s="28">
        <v>1.0900000000000001</v>
      </c>
      <c r="L17">
        <v>1.01</v>
      </c>
      <c r="M17" s="28"/>
      <c r="N17"/>
      <c r="O17" s="36">
        <v>2.92E-2</v>
      </c>
      <c r="P17" s="26">
        <v>3.3450000000000001E-2</v>
      </c>
      <c r="Q17" s="39">
        <f>1/2329</f>
        <v>4.2936882782310007E-4</v>
      </c>
      <c r="R17" s="39">
        <f>1/1407</f>
        <v>7.1073205401563609E-4</v>
      </c>
      <c r="S17" s="25">
        <f>1/2947</f>
        <v>3.3932813030200206E-4</v>
      </c>
      <c r="T17" s="25">
        <f>1/814</f>
        <v>1.2285012285012285E-3</v>
      </c>
    </row>
    <row r="18" spans="1:20" x14ac:dyDescent="0.2">
      <c r="A18" s="49"/>
      <c r="B18">
        <v>28</v>
      </c>
      <c r="C18">
        <v>3.15</v>
      </c>
      <c r="D18">
        <v>1800.1</v>
      </c>
      <c r="E18" s="31">
        <v>1</v>
      </c>
      <c r="F18" s="28">
        <v>1.3091999999999999</v>
      </c>
      <c r="G18">
        <v>1.3011999999999999</v>
      </c>
      <c r="H18">
        <v>1.1378999999999999</v>
      </c>
      <c r="I18">
        <v>1.1375999999999999</v>
      </c>
      <c r="J18" s="28"/>
      <c r="K18" s="28">
        <v>1.02</v>
      </c>
      <c r="L18">
        <v>1</v>
      </c>
      <c r="M18" s="28"/>
      <c r="N18"/>
      <c r="O18" s="36">
        <v>2.777E-2</v>
      </c>
      <c r="P18" s="26">
        <v>3.108E-2</v>
      </c>
      <c r="Q18" s="39">
        <f>1/2291</f>
        <v>4.3649061545176777E-4</v>
      </c>
      <c r="R18" s="39">
        <f>1/1417</f>
        <v>7.0571630204657732E-4</v>
      </c>
      <c r="S18" s="25">
        <f>1/2876</f>
        <v>3.4770514603616132E-4</v>
      </c>
      <c r="T18" s="25">
        <f>1/817</f>
        <v>1.2239902080783353E-3</v>
      </c>
    </row>
    <row r="19" spans="1:20" x14ac:dyDescent="0.2">
      <c r="A19" s="49"/>
      <c r="B19">
        <v>27</v>
      </c>
      <c r="C19">
        <v>3.15</v>
      </c>
      <c r="D19">
        <v>1800.1</v>
      </c>
      <c r="E19" s="31">
        <v>1</v>
      </c>
      <c r="F19" s="28">
        <v>1.2970999999999999</v>
      </c>
      <c r="G19">
        <v>1.2907999999999999</v>
      </c>
      <c r="H19">
        <v>1.1355</v>
      </c>
      <c r="I19">
        <v>1.1347</v>
      </c>
      <c r="J19" s="28"/>
      <c r="K19" s="28">
        <v>1.02</v>
      </c>
      <c r="L19">
        <v>1.01</v>
      </c>
      <c r="M19" s="28"/>
      <c r="N19"/>
      <c r="O19" s="36">
        <v>2.6450000000000001E-2</v>
      </c>
      <c r="P19" s="26">
        <v>2.896E-2</v>
      </c>
      <c r="Q19" s="39">
        <f>1/2262</f>
        <v>4.4208664898320068E-4</v>
      </c>
      <c r="R19" s="39">
        <f>1/1429</f>
        <v>6.9979006298110562E-4</v>
      </c>
      <c r="S19" s="25">
        <f>1/2815</f>
        <v>3.5523978685612787E-4</v>
      </c>
      <c r="T19" s="25">
        <f>1/821</f>
        <v>1.2180267965895249E-3</v>
      </c>
    </row>
    <row r="20" spans="1:20" x14ac:dyDescent="0.2">
      <c r="A20" s="49"/>
      <c r="B20">
        <v>26</v>
      </c>
      <c r="C20">
        <v>3.15</v>
      </c>
      <c r="D20">
        <v>1800.1</v>
      </c>
      <c r="E20" s="31">
        <v>1</v>
      </c>
      <c r="F20" s="28">
        <v>1.3047</v>
      </c>
      <c r="G20">
        <v>1.3051999999999999</v>
      </c>
      <c r="H20">
        <v>1.1342000000000001</v>
      </c>
      <c r="I20">
        <v>1.1353</v>
      </c>
      <c r="J20" s="28"/>
      <c r="K20" s="28">
        <v>1.01</v>
      </c>
      <c r="L20">
        <v>1.1000000000000001</v>
      </c>
      <c r="M20" s="28"/>
      <c r="N20"/>
      <c r="O20" s="36">
        <v>2.5239999999999999E-2</v>
      </c>
      <c r="P20" s="26">
        <v>2.7119999999999998E-2</v>
      </c>
      <c r="Q20" s="39">
        <f>1/2239</f>
        <v>4.4662795891022776E-4</v>
      </c>
      <c r="R20" s="39">
        <f>1/1444</f>
        <v>6.925207756232687E-4</v>
      </c>
      <c r="S20" s="25">
        <f>1/2761</f>
        <v>3.6218761318362912E-4</v>
      </c>
      <c r="T20" s="25">
        <f>1/827</f>
        <v>1.2091898428053204E-3</v>
      </c>
    </row>
    <row r="21" spans="1:20" x14ac:dyDescent="0.2">
      <c r="A21" s="49"/>
      <c r="B21">
        <v>25</v>
      </c>
      <c r="C21">
        <v>3.15</v>
      </c>
      <c r="D21">
        <v>1800.1</v>
      </c>
      <c r="E21" s="31">
        <v>1</v>
      </c>
      <c r="F21" s="28">
        <v>1.3069</v>
      </c>
      <c r="G21">
        <v>1.3087</v>
      </c>
      <c r="H21">
        <v>1.1377999999999999</v>
      </c>
      <c r="I21">
        <v>1.1389</v>
      </c>
      <c r="J21" s="28"/>
      <c r="K21" s="28">
        <v>1.08</v>
      </c>
      <c r="L21">
        <v>1.0900000000000001</v>
      </c>
      <c r="M21" s="28"/>
      <c r="N21"/>
      <c r="O21" s="36">
        <v>2.4160000000000001E-2</v>
      </c>
      <c r="P21" s="26">
        <v>2.5569999999999999E-2</v>
      </c>
      <c r="Q21" s="39">
        <f>1/2227</f>
        <v>4.4903457566232598E-4</v>
      </c>
      <c r="R21" s="39">
        <f>1/1463</f>
        <v>6.8352699931647305E-4</v>
      </c>
      <c r="S21" s="25">
        <f>1/2721</f>
        <v>3.6751194413818452E-4</v>
      </c>
      <c r="T21" s="25">
        <f>1/834</f>
        <v>1.199040767386091E-3</v>
      </c>
    </row>
    <row r="22" spans="1:20" x14ac:dyDescent="0.2">
      <c r="A22" s="49"/>
      <c r="B22">
        <v>24</v>
      </c>
      <c r="C22">
        <v>3.15</v>
      </c>
      <c r="D22">
        <v>1800.1</v>
      </c>
      <c r="E22" s="31">
        <v>1</v>
      </c>
      <c r="F22" s="28">
        <v>1.304</v>
      </c>
      <c r="G22">
        <v>1.3157000000000001</v>
      </c>
      <c r="H22">
        <v>1.1333</v>
      </c>
      <c r="I22">
        <v>1.1424000000000001</v>
      </c>
      <c r="J22" s="28"/>
      <c r="K22" s="28">
        <v>1.01</v>
      </c>
      <c r="L22">
        <v>1.01</v>
      </c>
      <c r="M22" s="28"/>
      <c r="N22"/>
      <c r="O22" s="36">
        <v>2.3199999999999998E-2</v>
      </c>
      <c r="P22" s="26">
        <v>2.427E-2</v>
      </c>
      <c r="Q22" s="39">
        <f>1/2211</f>
        <v>4.5228403437358661E-4</v>
      </c>
      <c r="R22" s="39">
        <f>1/1483</f>
        <v>6.7430883344571813E-4</v>
      </c>
      <c r="S22" s="25">
        <f>1/2677</f>
        <v>3.7355248412401944E-4</v>
      </c>
      <c r="T22" s="25">
        <f>1/842</f>
        <v>1.1876484560570072E-3</v>
      </c>
    </row>
    <row r="23" spans="1:20" x14ac:dyDescent="0.2">
      <c r="A23" s="49"/>
      <c r="B23">
        <v>23</v>
      </c>
      <c r="C23">
        <v>3.15</v>
      </c>
      <c r="D23">
        <v>1800.1</v>
      </c>
      <c r="E23" s="31">
        <v>1</v>
      </c>
      <c r="F23" s="28">
        <v>1.3022</v>
      </c>
      <c r="G23">
        <v>1.3264</v>
      </c>
      <c r="H23">
        <v>1.1335</v>
      </c>
      <c r="I23">
        <v>1.1482000000000001</v>
      </c>
      <c r="J23" s="28"/>
      <c r="K23" s="28">
        <v>1.01</v>
      </c>
      <c r="L23">
        <v>0.93</v>
      </c>
      <c r="M23" s="28"/>
      <c r="N23"/>
      <c r="O23" s="36">
        <v>2.232E-2</v>
      </c>
      <c r="P23" s="26">
        <v>2.3199999999999998E-2</v>
      </c>
      <c r="Q23" s="39">
        <f>1/2197</f>
        <v>4.5516613563950843E-4</v>
      </c>
      <c r="R23" s="39">
        <f>1/1507</f>
        <v>6.6357000663570006E-4</v>
      </c>
      <c r="S23" s="25">
        <f>1/2637</f>
        <v>3.7921880925293893E-4</v>
      </c>
      <c r="T23" s="25">
        <f>1/852</f>
        <v>1.1737089201877935E-3</v>
      </c>
    </row>
    <row r="24" spans="1:20" x14ac:dyDescent="0.2">
      <c r="A24" s="49"/>
      <c r="B24">
        <v>22</v>
      </c>
      <c r="C24">
        <v>3.15</v>
      </c>
      <c r="D24">
        <v>1800.1</v>
      </c>
      <c r="E24" s="31">
        <v>1</v>
      </c>
      <c r="F24" s="28">
        <v>1.3018000000000001</v>
      </c>
      <c r="G24">
        <v>1.3391</v>
      </c>
      <c r="H24">
        <v>1.1345000000000001</v>
      </c>
      <c r="I24">
        <v>1.1540999999999999</v>
      </c>
      <c r="J24" s="28"/>
      <c r="K24" s="28">
        <v>1.01</v>
      </c>
      <c r="L24">
        <v>1.01</v>
      </c>
      <c r="M24" s="28"/>
      <c r="N24"/>
      <c r="O24" s="36">
        <v>2.155E-2</v>
      </c>
      <c r="P24" s="26">
        <v>2.2329999999999999E-2</v>
      </c>
      <c r="Q24" s="39">
        <f>1/2186</f>
        <v>4.5745654162854531E-4</v>
      </c>
      <c r="R24" s="39">
        <f>1/1533</f>
        <v>6.5231572080887146E-4</v>
      </c>
      <c r="S24" s="25">
        <f>1/2603</f>
        <v>3.84172109104879E-4</v>
      </c>
      <c r="T24" s="25">
        <f>1/864</f>
        <v>1.1574074074074073E-3</v>
      </c>
    </row>
    <row r="25" spans="1:20" x14ac:dyDescent="0.2">
      <c r="A25" s="49"/>
      <c r="B25">
        <v>21</v>
      </c>
      <c r="C25">
        <v>3.15</v>
      </c>
      <c r="D25">
        <v>1800.1</v>
      </c>
      <c r="E25" s="31">
        <v>1</v>
      </c>
      <c r="F25" s="28">
        <v>1.3046</v>
      </c>
      <c r="G25">
        <v>1.3526</v>
      </c>
      <c r="H25">
        <v>1.1362000000000001</v>
      </c>
      <c r="I25">
        <v>1.1599999999999999</v>
      </c>
      <c r="J25" s="28"/>
      <c r="K25" s="28">
        <v>1.01</v>
      </c>
      <c r="L25">
        <v>1.01</v>
      </c>
      <c r="M25" s="28"/>
      <c r="N25"/>
      <c r="O25" s="36">
        <v>2.087E-2</v>
      </c>
      <c r="P25" s="26">
        <v>2.162E-2</v>
      </c>
      <c r="Q25" s="39">
        <f>1/2179</f>
        <v>4.5892611289582378E-4</v>
      </c>
      <c r="R25" s="39">
        <f>1/1563</f>
        <v>6.3979526551503517E-4</v>
      </c>
      <c r="S25" s="25">
        <f>1/2575</f>
        <v>3.8834951456310682E-4</v>
      </c>
      <c r="T25" s="25">
        <f>1/878</f>
        <v>1.1389521640091116E-3</v>
      </c>
    </row>
    <row r="26" spans="1:20" x14ac:dyDescent="0.2">
      <c r="A26" s="49"/>
      <c r="B26">
        <v>20</v>
      </c>
      <c r="C26">
        <v>3.15</v>
      </c>
      <c r="D26">
        <v>1800.1</v>
      </c>
      <c r="E26" s="31">
        <v>1</v>
      </c>
      <c r="F26" s="28">
        <v>1.3107</v>
      </c>
      <c r="G26">
        <v>1.3662000000000001</v>
      </c>
      <c r="H26">
        <v>1.1400999999999999</v>
      </c>
      <c r="I26">
        <v>1.1657999999999999</v>
      </c>
      <c r="J26" s="28"/>
      <c r="K26" s="28">
        <v>1.07</v>
      </c>
      <c r="L26">
        <v>1.08</v>
      </c>
      <c r="M26" s="28"/>
      <c r="N26"/>
      <c r="O26" s="36">
        <v>2.0279999999999999E-2</v>
      </c>
      <c r="P26" s="26">
        <v>2.1059999999999999E-2</v>
      </c>
      <c r="Q26" s="39">
        <f>1/2180</f>
        <v>4.5871559633027525E-4</v>
      </c>
      <c r="R26" s="39">
        <f>1/1598</f>
        <v>6.2578222778473093E-4</v>
      </c>
      <c r="S26" s="25">
        <f>1/2559</f>
        <v>3.9077764751856197E-4</v>
      </c>
      <c r="T26" s="25">
        <f>1/894</f>
        <v>1.1185682326621924E-3</v>
      </c>
    </row>
    <row r="27" spans="1:20" x14ac:dyDescent="0.2">
      <c r="B27">
        <v>19</v>
      </c>
      <c r="C27">
        <v>3.15</v>
      </c>
      <c r="D27">
        <v>1800.1</v>
      </c>
      <c r="E27" s="31">
        <v>1</v>
      </c>
      <c r="F27" s="28">
        <v>1.3122</v>
      </c>
      <c r="G27">
        <v>1.3782000000000001</v>
      </c>
      <c r="H27">
        <v>1.1383000000000001</v>
      </c>
      <c r="I27">
        <v>1.1702999999999999</v>
      </c>
      <c r="J27" s="28"/>
      <c r="K27" s="28">
        <v>1.01</v>
      </c>
      <c r="L27">
        <v>1.1000000000000001</v>
      </c>
      <c r="M27" s="28"/>
      <c r="N27"/>
      <c r="O27" s="36">
        <v>1.976E-2</v>
      </c>
      <c r="P27" s="26">
        <v>2.0619999999999999E-2</v>
      </c>
      <c r="Q27" s="39">
        <f>1/2178</f>
        <v>4.591368227731864E-4</v>
      </c>
      <c r="R27" s="39">
        <f>1/1636</f>
        <v>6.1124694376528117E-4</v>
      </c>
      <c r="S27" s="25">
        <f>1/2540</f>
        <v>3.937007874015748E-4</v>
      </c>
      <c r="T27" s="25">
        <f>1/913</f>
        <v>1.0952902519167579E-3</v>
      </c>
    </row>
    <row r="28" spans="1:20" x14ac:dyDescent="0.2">
      <c r="B28">
        <v>18</v>
      </c>
      <c r="C28">
        <v>3.15</v>
      </c>
      <c r="D28">
        <v>1800.1</v>
      </c>
      <c r="E28" s="31">
        <v>1</v>
      </c>
      <c r="F28" s="28">
        <v>1.3139000000000001</v>
      </c>
      <c r="G28">
        <v>1.3907</v>
      </c>
      <c r="H28">
        <v>1.1396999999999999</v>
      </c>
      <c r="I28">
        <v>1.1760999999999999</v>
      </c>
      <c r="J28" s="28"/>
      <c r="K28" s="28">
        <v>1.01</v>
      </c>
      <c r="L28">
        <v>1.01</v>
      </c>
      <c r="M28" s="28"/>
      <c r="N28"/>
      <c r="O28" s="36">
        <v>1.9310000000000001E-2</v>
      </c>
      <c r="P28" s="26">
        <v>2.0289999999999999E-2</v>
      </c>
      <c r="Q28" s="39">
        <f>1/2177</f>
        <v>4.5934772622875517E-4</v>
      </c>
      <c r="R28" s="39">
        <f>1/1678</f>
        <v>5.9594755661501785E-4</v>
      </c>
      <c r="S28" s="25">
        <f>1/2526</f>
        <v>3.9588281868566902E-4</v>
      </c>
      <c r="T28" s="25">
        <f>1/934</f>
        <v>1.0706638115631692E-3</v>
      </c>
    </row>
    <row r="29" spans="1:20" x14ac:dyDescent="0.2">
      <c r="B29">
        <v>17</v>
      </c>
      <c r="C29">
        <v>3.15</v>
      </c>
      <c r="D29">
        <v>1800.1</v>
      </c>
      <c r="E29" s="31">
        <v>1</v>
      </c>
      <c r="F29" s="28">
        <v>1.3172999999999999</v>
      </c>
      <c r="G29">
        <v>1.4036999999999999</v>
      </c>
      <c r="H29">
        <v>1.1423000000000001</v>
      </c>
      <c r="I29">
        <v>1.1819</v>
      </c>
      <c r="J29" s="28"/>
      <c r="K29" s="28">
        <v>1.02</v>
      </c>
      <c r="L29">
        <v>0.92</v>
      </c>
      <c r="M29" s="28"/>
      <c r="N29"/>
      <c r="O29" s="36">
        <v>1.8919999999999999E-2</v>
      </c>
      <c r="P29" s="26">
        <v>2.0049999999999998E-2</v>
      </c>
      <c r="Q29" s="39">
        <f>1/2180</f>
        <v>4.5871559633027525E-4</v>
      </c>
      <c r="R29" s="39">
        <f>1/1726</f>
        <v>5.7937427578215526E-4</v>
      </c>
      <c r="S29" s="25">
        <f>1/2519</f>
        <v>3.9698292973402142E-4</v>
      </c>
      <c r="T29" s="25">
        <f>1/958</f>
        <v>1.0438413361169101E-3</v>
      </c>
    </row>
    <row r="30" spans="1:20" x14ac:dyDescent="0.2">
      <c r="B30">
        <v>16</v>
      </c>
      <c r="C30">
        <v>3.15</v>
      </c>
      <c r="D30">
        <v>1800.1</v>
      </c>
      <c r="E30" s="31">
        <v>1.07</v>
      </c>
      <c r="F30" s="28">
        <v>1.3159000000000001</v>
      </c>
      <c r="G30">
        <v>1.4141999999999999</v>
      </c>
      <c r="H30">
        <v>1.1389</v>
      </c>
      <c r="I30">
        <v>1.1851</v>
      </c>
      <c r="J30" s="28"/>
      <c r="K30" s="28">
        <v>1.01</v>
      </c>
      <c r="L30">
        <v>1</v>
      </c>
      <c r="M30" s="28"/>
      <c r="N30"/>
      <c r="O30" s="36">
        <v>1.8589999999999999E-2</v>
      </c>
      <c r="P30" s="26">
        <v>1.9879999999999998E-2</v>
      </c>
      <c r="Q30" s="39">
        <f>1/2173</f>
        <v>4.6019328117809482E-4</v>
      </c>
      <c r="R30" s="39">
        <f>1/1776</f>
        <v>5.6306306306306306E-4</v>
      </c>
      <c r="S30" s="25">
        <f>1/2496</f>
        <v>4.0064102564102563E-4</v>
      </c>
      <c r="T30" s="25">
        <f>1/985</f>
        <v>1.0152284263959391E-3</v>
      </c>
    </row>
    <row r="31" spans="1:20" x14ac:dyDescent="0.2">
      <c r="A31" s="48" t="s">
        <v>46</v>
      </c>
      <c r="B31">
        <v>15</v>
      </c>
      <c r="C31">
        <v>3</v>
      </c>
      <c r="D31">
        <v>1683.18</v>
      </c>
      <c r="E31" s="31">
        <v>0.94</v>
      </c>
      <c r="F31" s="28">
        <v>1.3754999999999999</v>
      </c>
      <c r="G31">
        <v>1.4936</v>
      </c>
      <c r="H31">
        <v>1.1352</v>
      </c>
      <c r="I31">
        <v>1.1880999999999999</v>
      </c>
      <c r="J31" s="28"/>
      <c r="K31" s="28">
        <v>0.99</v>
      </c>
      <c r="L31">
        <v>1.01</v>
      </c>
      <c r="M31" s="28"/>
      <c r="N31"/>
      <c r="O31" s="36">
        <v>1.83E-2</v>
      </c>
      <c r="P31" s="26">
        <v>1.9779999999999999E-2</v>
      </c>
      <c r="Q31" s="39">
        <f>1/2161</f>
        <v>4.6274872744099955E-4</v>
      </c>
      <c r="R31" s="39">
        <f>1/1833</f>
        <v>5.455537370430987E-4</v>
      </c>
      <c r="S31" s="25">
        <f>1/2468</f>
        <v>4.051863857374392E-4</v>
      </c>
      <c r="T31" s="25">
        <f>1/1015</f>
        <v>9.8522167487684722E-4</v>
      </c>
    </row>
    <row r="32" spans="1:20" x14ac:dyDescent="0.2">
      <c r="A32" s="49"/>
      <c r="B32">
        <v>14</v>
      </c>
      <c r="C32">
        <v>3.15</v>
      </c>
      <c r="D32">
        <v>1824.03</v>
      </c>
      <c r="E32" s="31">
        <v>1.08</v>
      </c>
      <c r="F32" s="28">
        <v>1.3340000000000001</v>
      </c>
      <c r="G32">
        <v>1.4350000000000001</v>
      </c>
      <c r="H32">
        <v>1.1794</v>
      </c>
      <c r="I32">
        <v>1.2169000000000001</v>
      </c>
      <c r="J32" s="28"/>
      <c r="K32" s="28">
        <v>1.06</v>
      </c>
      <c r="L32">
        <v>1.21</v>
      </c>
      <c r="M32" s="28"/>
      <c r="N32"/>
      <c r="O32" s="36">
        <v>1.805E-2</v>
      </c>
      <c r="P32" s="26">
        <v>1.9740000000000001E-2</v>
      </c>
      <c r="Q32" s="39">
        <f>1/2232</f>
        <v>4.4802867383512545E-4</v>
      </c>
      <c r="R32" s="39">
        <f>1/1933</f>
        <v>5.1733057423693739E-4</v>
      </c>
      <c r="S32" s="25">
        <f>1/2565</f>
        <v>3.8986354775828459E-4</v>
      </c>
      <c r="T32" s="25">
        <f>1/1070</f>
        <v>9.3457943925233649E-4</v>
      </c>
    </row>
    <row r="33" spans="1:20" x14ac:dyDescent="0.2">
      <c r="A33" s="49"/>
      <c r="B33">
        <v>13</v>
      </c>
      <c r="C33">
        <v>3.15</v>
      </c>
      <c r="D33">
        <v>1823.21</v>
      </c>
      <c r="E33" s="31">
        <v>1</v>
      </c>
      <c r="F33" s="28">
        <v>1.3419000000000001</v>
      </c>
      <c r="G33">
        <v>1.4443999999999999</v>
      </c>
      <c r="H33">
        <v>1.1575</v>
      </c>
      <c r="I33">
        <v>1.2037</v>
      </c>
      <c r="J33" s="28"/>
      <c r="K33" s="28">
        <v>1.02</v>
      </c>
      <c r="L33">
        <v>1</v>
      </c>
      <c r="M33" s="28"/>
      <c r="N33"/>
      <c r="O33" s="36">
        <v>1.7840000000000002E-2</v>
      </c>
      <c r="P33" s="26">
        <v>1.9740000000000001E-2</v>
      </c>
      <c r="Q33" s="39">
        <f>1/2259</f>
        <v>4.4267374944665782E-4</v>
      </c>
      <c r="R33" s="39">
        <f>1/2014</f>
        <v>4.965243296921549E-4</v>
      </c>
      <c r="S33" s="25">
        <f>1/2596</f>
        <v>3.8520801232665641E-4</v>
      </c>
      <c r="T33" s="25">
        <f>1/1116</f>
        <v>8.960573476702509E-4</v>
      </c>
    </row>
    <row r="34" spans="1:20" x14ac:dyDescent="0.2">
      <c r="A34" s="49"/>
      <c r="B34">
        <v>12</v>
      </c>
      <c r="C34">
        <v>3.15</v>
      </c>
      <c r="D34">
        <v>1823.21</v>
      </c>
      <c r="E34" s="31">
        <v>1</v>
      </c>
      <c r="F34" s="28">
        <v>1.3481000000000001</v>
      </c>
      <c r="G34">
        <v>1.4537</v>
      </c>
      <c r="H34">
        <v>1.1620999999999999</v>
      </c>
      <c r="I34">
        <v>1.2095</v>
      </c>
      <c r="J34" s="28"/>
      <c r="K34" s="28">
        <v>1.01</v>
      </c>
      <c r="L34">
        <v>1</v>
      </c>
      <c r="M34" s="28"/>
      <c r="N34"/>
      <c r="O34" s="36">
        <v>1.7670000000000002E-2</v>
      </c>
      <c r="P34" s="26">
        <v>1.976E-2</v>
      </c>
      <c r="Q34" s="39">
        <f>1/2297</f>
        <v>4.3535045711797995E-4</v>
      </c>
      <c r="R34" s="39">
        <f>1/2110</f>
        <v>4.7393364928909954E-4</v>
      </c>
      <c r="S34" s="25">
        <f>1/2641</f>
        <v>3.786444528587656E-4</v>
      </c>
      <c r="T34" s="25">
        <f>1/1170</f>
        <v>8.547008547008547E-4</v>
      </c>
    </row>
    <row r="35" spans="1:20" x14ac:dyDescent="0.2">
      <c r="A35" s="49"/>
      <c r="B35">
        <v>11</v>
      </c>
      <c r="C35">
        <v>3.15</v>
      </c>
      <c r="D35">
        <v>1823.21</v>
      </c>
      <c r="E35" s="31">
        <v>1</v>
      </c>
      <c r="F35" s="28">
        <v>1.369</v>
      </c>
      <c r="G35">
        <v>1.4830000000000001</v>
      </c>
      <c r="H35">
        <v>1.1657</v>
      </c>
      <c r="I35">
        <v>1.2157</v>
      </c>
      <c r="J35" s="28"/>
      <c r="K35" s="28">
        <v>1.01</v>
      </c>
      <c r="L35">
        <v>1</v>
      </c>
      <c r="M35" s="28"/>
      <c r="N35"/>
      <c r="O35" s="36">
        <v>1.7510000000000001E-2</v>
      </c>
      <c r="P35" s="26">
        <v>1.9789999999999999E-2</v>
      </c>
      <c r="Q35" s="39">
        <f>1/2344</f>
        <v>4.2662116040955632E-4</v>
      </c>
      <c r="R35" s="39">
        <f>1/2223</f>
        <v>4.4984255510571302E-4</v>
      </c>
      <c r="S35" s="25">
        <f>1/2699</f>
        <v>3.7050759540570581E-4</v>
      </c>
      <c r="T35" s="25">
        <f>1/1235</f>
        <v>8.0971659919028337E-4</v>
      </c>
    </row>
    <row r="36" spans="1:20" x14ac:dyDescent="0.2">
      <c r="A36" s="49"/>
      <c r="B36">
        <v>10</v>
      </c>
      <c r="C36">
        <v>3.15</v>
      </c>
      <c r="D36">
        <v>1823.21</v>
      </c>
      <c r="E36" s="31">
        <v>1</v>
      </c>
      <c r="F36" s="28">
        <v>1.3829</v>
      </c>
      <c r="G36">
        <v>1.4982</v>
      </c>
      <c r="H36">
        <v>1.1737</v>
      </c>
      <c r="I36">
        <v>1.2223999999999999</v>
      </c>
      <c r="J36" s="28"/>
      <c r="K36" s="28">
        <v>1.05</v>
      </c>
      <c r="L36">
        <v>0.97</v>
      </c>
      <c r="M36" s="28"/>
      <c r="N36"/>
      <c r="O36" s="36">
        <v>1.7389999999999999E-2</v>
      </c>
      <c r="P36" s="26">
        <v>1.9810000000000001E-2</v>
      </c>
      <c r="Q36" s="39">
        <f>1/2410</f>
        <v>4.1493775933609957E-4</v>
      </c>
      <c r="R36" s="39">
        <f>1/2358</f>
        <v>4.2408821034775233E-4</v>
      </c>
      <c r="S36" s="25">
        <f>1/2781</f>
        <v>3.595828838547285E-4</v>
      </c>
      <c r="T36" s="25">
        <f>1/1313</f>
        <v>7.6161462300076163E-4</v>
      </c>
    </row>
    <row r="37" spans="1:20" x14ac:dyDescent="0.2">
      <c r="A37" s="49"/>
      <c r="B37">
        <v>9</v>
      </c>
      <c r="C37">
        <v>3.15</v>
      </c>
      <c r="D37">
        <v>1823.21</v>
      </c>
      <c r="E37" s="31">
        <v>1</v>
      </c>
      <c r="F37" s="28">
        <v>1.3918999999999999</v>
      </c>
      <c r="G37">
        <v>1.5123</v>
      </c>
      <c r="H37">
        <v>1.175</v>
      </c>
      <c r="I37">
        <v>1.2276</v>
      </c>
      <c r="J37" s="28"/>
      <c r="K37" s="28">
        <v>1.01</v>
      </c>
      <c r="L37">
        <v>1</v>
      </c>
      <c r="M37" s="28"/>
      <c r="N37"/>
      <c r="O37" s="36">
        <v>1.728E-2</v>
      </c>
      <c r="P37" s="26">
        <v>1.9820000000000001E-2</v>
      </c>
      <c r="Q37" s="39">
        <f>1/2484</f>
        <v>4.0257648953301127E-4</v>
      </c>
      <c r="R37" s="39">
        <f>1/2516</f>
        <v>3.9745627980922101E-4</v>
      </c>
      <c r="S37" s="25">
        <f>1/2873</f>
        <v>3.4806822137138882E-4</v>
      </c>
      <c r="T37" s="25">
        <f>1/1406</f>
        <v>7.1123755334281653E-4</v>
      </c>
    </row>
    <row r="38" spans="1:20" x14ac:dyDescent="0.2">
      <c r="B38">
        <v>8</v>
      </c>
      <c r="C38">
        <v>3.15</v>
      </c>
      <c r="D38">
        <v>1823.21</v>
      </c>
      <c r="E38" s="31">
        <v>1</v>
      </c>
      <c r="F38" s="28">
        <v>1.405</v>
      </c>
      <c r="G38">
        <v>1.5310999999999999</v>
      </c>
      <c r="H38">
        <v>1.1827000000000001</v>
      </c>
      <c r="I38">
        <v>1.2375</v>
      </c>
      <c r="J38" s="28"/>
      <c r="K38" s="28">
        <v>1.01</v>
      </c>
      <c r="L38">
        <v>1</v>
      </c>
      <c r="M38" s="28"/>
      <c r="N38"/>
      <c r="O38" s="36">
        <v>1.7180000000000001E-2</v>
      </c>
      <c r="P38" s="26">
        <v>1.9820000000000001E-2</v>
      </c>
      <c r="Q38" s="39">
        <f>1/2582</f>
        <v>3.8729666924864449E-4</v>
      </c>
      <c r="R38" s="39">
        <f>1/2713</f>
        <v>3.6859565057132326E-4</v>
      </c>
      <c r="S38" s="25">
        <f>1/2993</f>
        <v>3.3411293017039759E-4</v>
      </c>
      <c r="T38" s="25">
        <f>1/1522</f>
        <v>6.5703022339027597E-4</v>
      </c>
    </row>
    <row r="39" spans="1:20" x14ac:dyDescent="0.2">
      <c r="B39">
        <v>7</v>
      </c>
      <c r="C39">
        <v>3.15</v>
      </c>
      <c r="D39">
        <v>1823.21</v>
      </c>
      <c r="E39" s="31">
        <v>1</v>
      </c>
      <c r="F39" s="28">
        <v>1.4247000000000001</v>
      </c>
      <c r="G39">
        <v>1.5581</v>
      </c>
      <c r="H39">
        <v>1.1938</v>
      </c>
      <c r="I39">
        <v>1.2514000000000001</v>
      </c>
      <c r="J39" s="28"/>
      <c r="K39" s="28">
        <v>1</v>
      </c>
      <c r="L39">
        <v>1.04</v>
      </c>
      <c r="M39" s="28"/>
      <c r="N39"/>
      <c r="O39" s="36">
        <v>1.7059999999999999E-2</v>
      </c>
      <c r="P39" s="26">
        <v>1.9800000000000002E-2</v>
      </c>
      <c r="Q39" s="39">
        <f>1/2714</f>
        <v>3.6845983787767134E-4</v>
      </c>
      <c r="R39" s="39">
        <f>1/2963</f>
        <v>3.3749578130273371E-4</v>
      </c>
      <c r="S39" s="25">
        <f>1/3153</f>
        <v>3.1715826197272439E-4</v>
      </c>
      <c r="T39" s="25">
        <f>1/1671</f>
        <v>5.9844404548174744E-4</v>
      </c>
    </row>
    <row r="40" spans="1:20" x14ac:dyDescent="0.2">
      <c r="B40">
        <v>6</v>
      </c>
      <c r="C40">
        <v>3.15</v>
      </c>
      <c r="D40">
        <v>1823.21</v>
      </c>
      <c r="E40" s="31">
        <v>1</v>
      </c>
      <c r="F40" s="28">
        <v>1.4572000000000001</v>
      </c>
      <c r="G40">
        <v>1.5985</v>
      </c>
      <c r="H40">
        <v>1.2111000000000001</v>
      </c>
      <c r="I40">
        <v>1.2717000000000001</v>
      </c>
      <c r="J40" s="28"/>
      <c r="K40" s="28">
        <v>1.01</v>
      </c>
      <c r="L40">
        <v>1.05</v>
      </c>
      <c r="M40" s="28"/>
      <c r="N40"/>
      <c r="O40" s="36">
        <v>1.694E-2</v>
      </c>
      <c r="P40" s="26">
        <v>1.9740000000000001E-2</v>
      </c>
      <c r="Q40" s="39">
        <f>1/2902</f>
        <v>3.4458993797381116E-4</v>
      </c>
      <c r="R40" s="39">
        <f>1/3298</f>
        <v>3.0321406913280777E-4</v>
      </c>
      <c r="S40" s="25">
        <f>1/3378</f>
        <v>2.9603315571343988E-4</v>
      </c>
      <c r="T40" s="25">
        <f>1/1871</f>
        <v>5.3447354355959376E-4</v>
      </c>
    </row>
    <row r="41" spans="1:20" x14ac:dyDescent="0.2">
      <c r="B41">
        <v>5</v>
      </c>
      <c r="C41">
        <v>3.15</v>
      </c>
      <c r="D41">
        <v>1823.21</v>
      </c>
      <c r="E41" s="31">
        <v>1</v>
      </c>
      <c r="F41" s="28">
        <v>1.5088999999999999</v>
      </c>
      <c r="G41">
        <v>1.6608000000000001</v>
      </c>
      <c r="H41">
        <v>1.2390000000000001</v>
      </c>
      <c r="I41">
        <v>1.3037000000000001</v>
      </c>
      <c r="J41" s="28"/>
      <c r="K41" s="28">
        <v>1.05</v>
      </c>
      <c r="L41">
        <v>1</v>
      </c>
      <c r="M41" s="28"/>
      <c r="N41"/>
      <c r="O41" s="36">
        <v>1.6789999999999999E-2</v>
      </c>
      <c r="P41" s="26">
        <v>1.9640000000000001E-2</v>
      </c>
      <c r="Q41" s="39">
        <f>1/3182</f>
        <v>3.1426775612822125E-4</v>
      </c>
      <c r="R41" s="39">
        <f>1/3773</f>
        <v>2.6504108136761196E-4</v>
      </c>
      <c r="S41" s="25">
        <f>1/3710</f>
        <v>2.6954177897574127E-4</v>
      </c>
      <c r="T41" s="25">
        <f>1/2048</f>
        <v>4.8828125E-4</v>
      </c>
    </row>
    <row r="42" spans="1:20" x14ac:dyDescent="0.2">
      <c r="B42">
        <v>4</v>
      </c>
      <c r="C42">
        <v>3.15</v>
      </c>
      <c r="D42">
        <v>1823.21</v>
      </c>
      <c r="E42" s="31">
        <v>1</v>
      </c>
      <c r="F42" s="28">
        <v>1.6466000000000001</v>
      </c>
      <c r="G42">
        <v>1.7724</v>
      </c>
      <c r="H42">
        <v>1.3268</v>
      </c>
      <c r="I42">
        <v>1.3785000000000001</v>
      </c>
      <c r="J42" s="28"/>
      <c r="K42" s="28">
        <v>1.1000000000000001</v>
      </c>
      <c r="L42">
        <v>0.94</v>
      </c>
      <c r="M42" s="28"/>
      <c r="N42"/>
      <c r="O42" s="36">
        <v>1.66E-2</v>
      </c>
      <c r="P42" s="26">
        <v>1.949E-2</v>
      </c>
      <c r="Q42" s="39">
        <f>1/3722</f>
        <v>2.6867275658248256E-4</v>
      </c>
      <c r="R42" s="39">
        <f>1/4573</f>
        <v>2.1867483052700635E-4</v>
      </c>
      <c r="S42" s="25">
        <f>1/4350</f>
        <v>2.2988505747126436E-4</v>
      </c>
      <c r="T42" s="25">
        <f>1/2432</f>
        <v>4.1118421052631577E-4</v>
      </c>
    </row>
    <row r="43" spans="1:20" x14ac:dyDescent="0.2">
      <c r="B43">
        <v>3</v>
      </c>
      <c r="C43">
        <v>6.45</v>
      </c>
      <c r="D43">
        <v>3090.35</v>
      </c>
      <c r="E43" s="31">
        <v>1.7</v>
      </c>
      <c r="F43" s="28">
        <v>1.0363</v>
      </c>
      <c r="G43">
        <v>1.0851</v>
      </c>
      <c r="H43">
        <v>1.6503000000000001</v>
      </c>
      <c r="I43">
        <v>1.7281</v>
      </c>
      <c r="J43" s="28"/>
      <c r="K43" s="28">
        <v>1.0900000000000001</v>
      </c>
      <c r="L43">
        <v>1.1499999999999999</v>
      </c>
      <c r="M43" s="28"/>
      <c r="N43"/>
      <c r="O43" s="36">
        <v>1.627E-2</v>
      </c>
      <c r="P43" s="26">
        <v>1.924E-2</v>
      </c>
      <c r="Q43" s="39">
        <f>1/5224</f>
        <v>1.9142419601837673E-4</v>
      </c>
      <c r="R43" s="39">
        <f>1/6873</f>
        <v>1.4549687181725592E-4</v>
      </c>
      <c r="S43" s="25">
        <f>1/6090</f>
        <v>1.6420361247947455E-4</v>
      </c>
      <c r="T43" s="25">
        <f>1/3899</f>
        <v>2.5647601949217746E-4</v>
      </c>
    </row>
    <row r="44" spans="1:20" x14ac:dyDescent="0.2">
      <c r="B44">
        <v>2</v>
      </c>
      <c r="C44">
        <v>4.5999999999999996</v>
      </c>
      <c r="D44">
        <v>2798.82</v>
      </c>
      <c r="E44" s="31">
        <v>1.8</v>
      </c>
      <c r="F44" s="28">
        <v>6.694</v>
      </c>
      <c r="G44">
        <v>3.6196000000000002</v>
      </c>
      <c r="H44">
        <v>4.9976000000000003</v>
      </c>
      <c r="I44">
        <v>2.5834999999999999</v>
      </c>
      <c r="J44" s="28"/>
      <c r="K44" s="28">
        <v>2.2000000000000002</v>
      </c>
      <c r="L44">
        <v>1.21</v>
      </c>
      <c r="M44" s="28"/>
      <c r="N44"/>
      <c r="O44" s="36">
        <v>1.5350000000000001E-2</v>
      </c>
      <c r="P44" s="26">
        <v>1.84E-2</v>
      </c>
      <c r="Q44" s="39">
        <f>1/9999</f>
        <v>1.0001000100010001E-4</v>
      </c>
      <c r="R44" s="39">
        <f>1/9999</f>
        <v>1.0001000100010001E-4</v>
      </c>
      <c r="S44" s="25">
        <f>1/9999</f>
        <v>1.0001000100010001E-4</v>
      </c>
      <c r="T44" s="25">
        <f>1/7677</f>
        <v>1.3025921583952066E-4</v>
      </c>
    </row>
    <row r="45" spans="1:20" x14ac:dyDescent="0.2">
      <c r="B45">
        <v>1</v>
      </c>
      <c r="C45">
        <v>3.7</v>
      </c>
      <c r="D45">
        <v>1550.94</v>
      </c>
      <c r="E45" s="31">
        <v>0.55000000000000004</v>
      </c>
      <c r="F45" s="28">
        <v>3.9731000000000001</v>
      </c>
      <c r="G45">
        <v>4.9450000000000003</v>
      </c>
      <c r="H45">
        <v>1.4914000000000001</v>
      </c>
      <c r="I45">
        <v>1.8562000000000001</v>
      </c>
      <c r="J45" s="28"/>
      <c r="K45" s="28">
        <v>1.1499999999999999</v>
      </c>
      <c r="L45">
        <v>1.1200000000000001</v>
      </c>
      <c r="M45" s="28"/>
      <c r="N45"/>
      <c r="O45" s="36">
        <v>1.457E-2</v>
      </c>
      <c r="P45" s="26">
        <v>1.746E-2</v>
      </c>
      <c r="Q45" s="39">
        <f>1/9999</f>
        <v>1.0001000100010001E-4</v>
      </c>
      <c r="R45" s="39">
        <f>1/9999</f>
        <v>1.0001000100010001E-4</v>
      </c>
      <c r="S45" s="25">
        <f>1/9999</f>
        <v>1.0001000100010001E-4</v>
      </c>
      <c r="T45" s="25">
        <f>1/9999</f>
        <v>1.0001000100010001E-4</v>
      </c>
    </row>
    <row r="46" spans="1:20" x14ac:dyDescent="0.2">
      <c r="B46"/>
      <c r="C46" s="46">
        <f xml:space="preserve"> SUM($C$7:$C$45)</f>
        <v>129.20000000000005</v>
      </c>
      <c r="D46">
        <v>1305.83</v>
      </c>
      <c r="E46" s="31"/>
      <c r="F46" s="28">
        <v>1</v>
      </c>
      <c r="G46">
        <v>1</v>
      </c>
      <c r="H46">
        <v>1</v>
      </c>
      <c r="I46">
        <v>1</v>
      </c>
      <c r="J46" s="28"/>
      <c r="K46" s="28">
        <v>0.95</v>
      </c>
      <c r="L46">
        <v>0.92</v>
      </c>
      <c r="M46" s="28"/>
      <c r="N46"/>
      <c r="O46" s="36">
        <v>1.457E-2</v>
      </c>
      <c r="P46" s="26">
        <v>1.746E-2</v>
      </c>
      <c r="Q46" s="39">
        <v>1.0001000100010001E-4</v>
      </c>
      <c r="R46" s="39">
        <v>1.0001000100010001E-4</v>
      </c>
      <c r="S46" s="25">
        <v>1.0001000100010001E-4</v>
      </c>
      <c r="T46" s="25">
        <v>1.0001000100010001E-4</v>
      </c>
    </row>
    <row r="47" spans="1:20" x14ac:dyDescent="0.2">
      <c r="B47"/>
      <c r="C47"/>
      <c r="D47">
        <v>3090.35</v>
      </c>
      <c r="E47" s="31"/>
      <c r="F47" s="28">
        <v>6.694</v>
      </c>
      <c r="G47">
        <v>5.2378999999999998</v>
      </c>
      <c r="H47">
        <v>4.9976000000000003</v>
      </c>
      <c r="I47">
        <v>3.0905999999999998</v>
      </c>
      <c r="J47" s="28"/>
      <c r="K47" s="28">
        <v>2.2000000000000002</v>
      </c>
      <c r="L47">
        <v>4.8499999999999996</v>
      </c>
      <c r="M47" s="28"/>
      <c r="N47"/>
      <c r="O47" s="36">
        <v>8.4400000000000003E-2</v>
      </c>
      <c r="P47" s="26">
        <v>0.13300000000000001</v>
      </c>
      <c r="Q47" s="39">
        <v>4.6274872744099955E-4</v>
      </c>
      <c r="R47" s="39">
        <v>7.2833211944646763E-4</v>
      </c>
      <c r="S47" s="25">
        <v>4.2122999157540015E-4</v>
      </c>
      <c r="T47" s="25">
        <v>1.3157894736842105E-3</v>
      </c>
    </row>
    <row r="48" spans="1:20" x14ac:dyDescent="0.2">
      <c r="B48"/>
      <c r="C48"/>
      <c r="D48"/>
      <c r="E48" s="31"/>
      <c r="F48" s="28"/>
      <c r="G48"/>
      <c r="H48"/>
      <c r="I48"/>
      <c r="J48" s="28"/>
      <c r="K48" s="28"/>
      <c r="L48"/>
      <c r="M48" s="28"/>
      <c r="N48"/>
      <c r="O48" s="36"/>
      <c r="P48" s="26"/>
      <c r="Q48" s="39"/>
      <c r="R48" s="39"/>
      <c r="S48" s="25"/>
      <c r="T48" s="25"/>
    </row>
    <row r="49" spans="2:20" x14ac:dyDescent="0.2">
      <c r="B49"/>
      <c r="C49"/>
      <c r="D49"/>
      <c r="E49" s="31"/>
      <c r="F49" s="28"/>
      <c r="G49"/>
      <c r="H49"/>
      <c r="I49"/>
      <c r="J49" s="28"/>
      <c r="K49" s="28"/>
      <c r="L49"/>
      <c r="M49" s="28"/>
      <c r="N49"/>
      <c r="O49" s="36"/>
      <c r="P49" s="26"/>
      <c r="Q49" s="39"/>
      <c r="R49" s="39"/>
      <c r="S49" s="25"/>
      <c r="T49" s="25"/>
    </row>
    <row r="50" spans="2:20" x14ac:dyDescent="0.2">
      <c r="B50"/>
      <c r="C50"/>
      <c r="D50"/>
      <c r="E50" s="31"/>
      <c r="F50" s="28"/>
      <c r="G50"/>
      <c r="H50"/>
      <c r="I50"/>
      <c r="J50" s="28"/>
      <c r="K50" s="28"/>
      <c r="L50"/>
      <c r="M50" s="28"/>
      <c r="N50"/>
      <c r="O50" s="36"/>
      <c r="P50" s="26"/>
      <c r="Q50" s="39"/>
      <c r="R50" s="39"/>
      <c r="S50" s="25"/>
      <c r="T50" s="25"/>
    </row>
    <row r="51" spans="2:20" x14ac:dyDescent="0.2">
      <c r="B51"/>
      <c r="C51"/>
      <c r="D51"/>
      <c r="E51" s="31"/>
      <c r="F51" s="28"/>
      <c r="G51"/>
      <c r="H51"/>
      <c r="I51"/>
      <c r="J51" s="28"/>
      <c r="K51" s="28"/>
      <c r="L51"/>
      <c r="M51" s="28"/>
      <c r="N51"/>
      <c r="O51" s="36"/>
      <c r="P51" s="26"/>
      <c r="Q51" s="39"/>
      <c r="R51" s="39"/>
      <c r="S51" s="25"/>
      <c r="T51" s="25"/>
    </row>
    <row r="52" spans="2:20" x14ac:dyDescent="0.2">
      <c r="B52"/>
      <c r="C52"/>
      <c r="D52"/>
      <c r="E52" s="31"/>
      <c r="F52" s="28"/>
      <c r="G52"/>
      <c r="H52"/>
      <c r="I52"/>
      <c r="J52" s="28"/>
      <c r="K52" s="28"/>
      <c r="L52"/>
      <c r="M52" s="28"/>
      <c r="N52"/>
      <c r="O52" s="36"/>
      <c r="P52" s="26"/>
      <c r="Q52" s="39"/>
      <c r="R52" s="39"/>
      <c r="S52" s="25"/>
      <c r="T52" s="25"/>
    </row>
    <row r="53" spans="2:20" x14ac:dyDescent="0.2">
      <c r="B53"/>
      <c r="C53"/>
      <c r="D53"/>
      <c r="E53" s="31"/>
      <c r="F53" s="28"/>
      <c r="G53"/>
      <c r="H53"/>
      <c r="I53"/>
      <c r="J53" s="28"/>
      <c r="K53" s="28"/>
      <c r="L53"/>
      <c r="M53" s="28"/>
      <c r="N53"/>
      <c r="O53" s="36"/>
      <c r="P53" s="26"/>
      <c r="Q53" s="39"/>
      <c r="R53" s="39"/>
      <c r="S53" s="25"/>
      <c r="T53" s="25"/>
    </row>
    <row r="54" spans="2:20" x14ac:dyDescent="0.2">
      <c r="B54"/>
      <c r="C54"/>
      <c r="D54"/>
      <c r="E54" s="31"/>
      <c r="F54" s="28"/>
      <c r="G54"/>
      <c r="H54"/>
      <c r="I54"/>
      <c r="J54" s="28"/>
      <c r="K54" s="28"/>
      <c r="L54"/>
      <c r="M54" s="28"/>
      <c r="N54"/>
      <c r="O54" s="36"/>
      <c r="P54" s="26"/>
      <c r="Q54" s="39"/>
      <c r="R54" s="39"/>
      <c r="S54" s="25"/>
      <c r="T54" s="25"/>
    </row>
    <row r="55" spans="2:20" x14ac:dyDescent="0.2">
      <c r="B55"/>
      <c r="C55"/>
      <c r="D55"/>
      <c r="E55" s="31"/>
      <c r="F55" s="28"/>
      <c r="G55"/>
      <c r="H55"/>
      <c r="I55"/>
      <c r="J55" s="28"/>
      <c r="K55" s="28"/>
      <c r="L55"/>
      <c r="M55" s="28"/>
      <c r="N55"/>
      <c r="O55" s="36"/>
      <c r="P55" s="26"/>
      <c r="Q55" s="39"/>
      <c r="R55" s="39"/>
      <c r="S55" s="25"/>
      <c r="T55" s="25"/>
    </row>
    <row r="56" spans="2:20" x14ac:dyDescent="0.2">
      <c r="B56"/>
      <c r="C56"/>
      <c r="D56"/>
      <c r="E56" s="31"/>
      <c r="F56" s="28"/>
      <c r="G56"/>
      <c r="H56"/>
      <c r="I56"/>
      <c r="J56" s="28"/>
      <c r="K56" s="28"/>
      <c r="L56"/>
      <c r="M56" s="28"/>
      <c r="N56"/>
      <c r="O56" s="36"/>
      <c r="P56" s="26"/>
      <c r="Q56" s="39"/>
      <c r="R56" s="39"/>
      <c r="S56" s="25"/>
      <c r="T56" s="25"/>
    </row>
    <row r="57" spans="2:20" x14ac:dyDescent="0.2">
      <c r="B57"/>
      <c r="C57"/>
      <c r="D57"/>
      <c r="E57" s="31"/>
      <c r="F57" s="28"/>
      <c r="G57"/>
      <c r="H57"/>
      <c r="I57"/>
      <c r="J57" s="28"/>
      <c r="K57" s="28"/>
      <c r="L57"/>
      <c r="M57" s="28"/>
      <c r="N57"/>
      <c r="O57" s="36"/>
      <c r="P57" s="26"/>
      <c r="Q57" s="39"/>
      <c r="R57" s="39"/>
      <c r="S57" s="25"/>
      <c r="T57" s="25"/>
    </row>
    <row r="58" spans="2:20" x14ac:dyDescent="0.2">
      <c r="B58"/>
      <c r="C58"/>
      <c r="D58"/>
      <c r="E58" s="31"/>
      <c r="F58" s="28"/>
      <c r="G58"/>
      <c r="H58"/>
      <c r="I58"/>
      <c r="J58" s="28"/>
      <c r="K58" s="28"/>
      <c r="L58"/>
      <c r="M58" s="28"/>
      <c r="N58"/>
      <c r="O58" s="36"/>
      <c r="P58" s="26"/>
      <c r="Q58" s="39"/>
      <c r="R58" s="39"/>
      <c r="S58" s="25"/>
      <c r="T58" s="25"/>
    </row>
    <row r="59" spans="2:20" x14ac:dyDescent="0.2">
      <c r="B59"/>
      <c r="C59"/>
      <c r="D59"/>
      <c r="E59" s="31"/>
      <c r="F59" s="28"/>
      <c r="G59"/>
      <c r="H59"/>
      <c r="I59"/>
      <c r="J59" s="28"/>
      <c r="K59" s="28"/>
      <c r="L59"/>
      <c r="M59" s="28"/>
      <c r="N59"/>
      <c r="O59" s="36"/>
      <c r="P59" s="26"/>
      <c r="Q59" s="39"/>
      <c r="R59" s="39"/>
      <c r="S59" s="25"/>
      <c r="T59" s="25"/>
    </row>
    <row r="60" spans="2:20" x14ac:dyDescent="0.2">
      <c r="B60"/>
      <c r="C60"/>
      <c r="D60"/>
      <c r="E60" s="31"/>
      <c r="F60" s="28"/>
      <c r="G60"/>
      <c r="H60"/>
      <c r="I60"/>
      <c r="J60" s="28"/>
      <c r="K60" s="28"/>
      <c r="L60"/>
      <c r="M60" s="28"/>
      <c r="N60"/>
      <c r="O60" s="36"/>
      <c r="P60" s="26"/>
      <c r="Q60" s="39"/>
      <c r="R60" s="39"/>
      <c r="S60" s="25"/>
      <c r="T60" s="25"/>
    </row>
    <row r="61" spans="2:20" x14ac:dyDescent="0.2">
      <c r="B61"/>
      <c r="C61"/>
      <c r="D61"/>
      <c r="E61" s="31"/>
      <c r="F61" s="28"/>
      <c r="G61"/>
      <c r="H61"/>
      <c r="I61"/>
      <c r="J61" s="28"/>
      <c r="K61" s="28"/>
      <c r="L61"/>
      <c r="M61" s="28"/>
      <c r="N61"/>
      <c r="O61" s="36"/>
      <c r="P61" s="26"/>
      <c r="Q61" s="39"/>
      <c r="R61" s="39"/>
      <c r="S61" s="25"/>
      <c r="T61" s="25"/>
    </row>
    <row r="62" spans="2:20" x14ac:dyDescent="0.2">
      <c r="B62"/>
      <c r="C62"/>
      <c r="D62"/>
      <c r="E62" s="31"/>
      <c r="F62" s="28"/>
      <c r="G62"/>
      <c r="H62"/>
      <c r="I62"/>
      <c r="J62" s="28"/>
      <c r="K62" s="28"/>
      <c r="L62"/>
      <c r="M62" s="28"/>
      <c r="N62"/>
      <c r="O62" s="36"/>
      <c r="P62" s="26"/>
      <c r="Q62" s="39"/>
      <c r="R62" s="39"/>
      <c r="S62" s="25"/>
      <c r="T62" s="25"/>
    </row>
    <row r="63" spans="2:20" x14ac:dyDescent="0.2">
      <c r="B63"/>
      <c r="C63"/>
      <c r="D63"/>
      <c r="E63" s="31"/>
      <c r="F63" s="28"/>
      <c r="G63"/>
      <c r="H63"/>
      <c r="I63"/>
      <c r="J63" s="28"/>
      <c r="K63" s="28"/>
      <c r="L63"/>
      <c r="M63" s="28"/>
      <c r="N63"/>
      <c r="O63" s="36"/>
      <c r="P63" s="26"/>
      <c r="Q63" s="39"/>
      <c r="R63" s="39"/>
      <c r="S63" s="25"/>
      <c r="T63" s="25"/>
    </row>
    <row r="64" spans="2:20" x14ac:dyDescent="0.2">
      <c r="B64"/>
      <c r="C64"/>
      <c r="D64"/>
      <c r="E64" s="31"/>
      <c r="F64" s="28"/>
      <c r="G64"/>
      <c r="H64"/>
      <c r="I64"/>
      <c r="J64" s="28"/>
      <c r="K64" s="28"/>
      <c r="L64"/>
      <c r="M64" s="28"/>
      <c r="N64"/>
      <c r="O64" s="36"/>
      <c r="P64" s="26"/>
      <c r="Q64" s="39"/>
      <c r="R64" s="39"/>
      <c r="S64" s="25"/>
      <c r="T64" s="25"/>
    </row>
    <row r="65" spans="2:20" x14ac:dyDescent="0.2">
      <c r="B65"/>
      <c r="C65"/>
      <c r="D65"/>
      <c r="E65" s="31"/>
      <c r="F65" s="28"/>
      <c r="G65"/>
      <c r="H65"/>
      <c r="I65"/>
      <c r="J65" s="28"/>
      <c r="K65" s="28"/>
      <c r="L65"/>
      <c r="M65" s="28"/>
      <c r="N65"/>
      <c r="O65" s="36"/>
      <c r="P65" s="26"/>
      <c r="Q65" s="39"/>
      <c r="R65" s="39"/>
      <c r="S65" s="25"/>
      <c r="T65" s="25"/>
    </row>
    <row r="66" spans="2:20" x14ac:dyDescent="0.2">
      <c r="B66"/>
      <c r="C66"/>
      <c r="D66"/>
      <c r="E66" s="31"/>
      <c r="F66" s="28"/>
      <c r="G66"/>
      <c r="H66"/>
      <c r="I66"/>
      <c r="J66" s="28"/>
      <c r="K66" s="28"/>
      <c r="L66"/>
      <c r="M66" s="28"/>
      <c r="N66"/>
      <c r="O66" s="36"/>
      <c r="P66" s="26"/>
      <c r="Q66" s="39"/>
      <c r="R66" s="39"/>
      <c r="S66" s="25"/>
      <c r="T66" s="25"/>
    </row>
    <row r="67" spans="2:20" x14ac:dyDescent="0.2">
      <c r="B67"/>
      <c r="C67"/>
      <c r="D67"/>
      <c r="E67" s="31"/>
      <c r="F67" s="28"/>
      <c r="G67"/>
      <c r="H67"/>
      <c r="I67"/>
      <c r="J67" s="28"/>
      <c r="K67" s="28"/>
      <c r="L67"/>
      <c r="M67" s="28"/>
      <c r="N67"/>
      <c r="O67" s="36"/>
      <c r="P67" s="26"/>
      <c r="Q67" s="39"/>
      <c r="R67" s="39"/>
      <c r="S67" s="25"/>
      <c r="T67" s="25"/>
    </row>
    <row r="68" spans="2:20" x14ac:dyDescent="0.2">
      <c r="B68"/>
      <c r="C68"/>
      <c r="D68"/>
      <c r="E68" s="31"/>
      <c r="F68" s="28"/>
      <c r="G68"/>
      <c r="H68"/>
      <c r="I68"/>
      <c r="J68" s="28"/>
      <c r="K68" s="28"/>
      <c r="L68"/>
      <c r="M68" s="28"/>
      <c r="N68"/>
      <c r="O68" s="36"/>
      <c r="P68" s="26"/>
      <c r="Q68" s="39"/>
      <c r="R68" s="39"/>
      <c r="S68" s="25"/>
      <c r="T68" s="25"/>
    </row>
    <row r="69" spans="2:20" x14ac:dyDescent="0.2">
      <c r="B69"/>
      <c r="C69"/>
      <c r="D69"/>
      <c r="E69" s="31"/>
      <c r="F69" s="28"/>
      <c r="G69"/>
      <c r="H69"/>
      <c r="I69"/>
      <c r="J69" s="28"/>
      <c r="K69" s="28"/>
      <c r="L69"/>
      <c r="M69" s="28"/>
      <c r="N69"/>
      <c r="O69" s="36"/>
      <c r="P69" s="26"/>
      <c r="Q69" s="39"/>
      <c r="R69" s="39"/>
      <c r="S69" s="25"/>
      <c r="T69" s="25"/>
    </row>
    <row r="70" spans="2:20" x14ac:dyDescent="0.2">
      <c r="B70"/>
      <c r="C70"/>
      <c r="D70"/>
      <c r="E70" s="31"/>
      <c r="F70" s="28"/>
      <c r="G70"/>
      <c r="H70"/>
      <c r="I70"/>
      <c r="J70" s="28"/>
      <c r="K70" s="28"/>
      <c r="L70"/>
      <c r="M70" s="28"/>
      <c r="N70"/>
      <c r="O70" s="36"/>
      <c r="P70" s="26"/>
      <c r="Q70" s="39"/>
      <c r="R70" s="39"/>
      <c r="S70" s="25"/>
      <c r="T70" s="25"/>
    </row>
    <row r="71" spans="2:20" x14ac:dyDescent="0.2">
      <c r="B71"/>
      <c r="C71"/>
      <c r="D71"/>
      <c r="E71" s="31"/>
      <c r="F71" s="28"/>
      <c r="G71"/>
      <c r="H71"/>
      <c r="I71"/>
      <c r="J71" s="28"/>
      <c r="K71" s="28"/>
      <c r="L71"/>
      <c r="M71" s="28"/>
      <c r="N71"/>
      <c r="O71" s="36"/>
      <c r="P71" s="26"/>
      <c r="Q71" s="39"/>
      <c r="R71" s="39"/>
      <c r="S71" s="25"/>
      <c r="T71" s="25"/>
    </row>
    <row r="72" spans="2:20" x14ac:dyDescent="0.2">
      <c r="B72"/>
      <c r="C72"/>
      <c r="D72"/>
      <c r="E72" s="31"/>
      <c r="F72" s="28"/>
      <c r="G72"/>
      <c r="H72"/>
      <c r="I72"/>
      <c r="J72" s="28"/>
      <c r="K72" s="28"/>
      <c r="L72"/>
      <c r="M72" s="28"/>
      <c r="N72"/>
      <c r="O72" s="36"/>
      <c r="P72" s="26"/>
      <c r="Q72" s="39"/>
      <c r="R72" s="39"/>
      <c r="S72" s="25"/>
      <c r="T72" s="25"/>
    </row>
    <row r="73" spans="2:20" x14ac:dyDescent="0.2">
      <c r="B73"/>
      <c r="C73"/>
      <c r="D73"/>
      <c r="E73" s="31"/>
      <c r="F73" s="28"/>
      <c r="G73"/>
      <c r="H73"/>
      <c r="I73"/>
      <c r="J73" s="28"/>
      <c r="K73" s="28"/>
      <c r="L73"/>
      <c r="M73" s="28"/>
      <c r="N73"/>
      <c r="O73" s="36"/>
      <c r="P73" s="26"/>
      <c r="Q73" s="39"/>
      <c r="R73" s="39"/>
      <c r="S73" s="25"/>
      <c r="T73" s="25"/>
    </row>
    <row r="74" spans="2:20" x14ac:dyDescent="0.2">
      <c r="B74"/>
      <c r="C74"/>
      <c r="D74"/>
      <c r="E74" s="31"/>
      <c r="F74" s="28"/>
      <c r="G74"/>
      <c r="H74"/>
      <c r="I74"/>
      <c r="J74" s="28"/>
      <c r="K74" s="28"/>
      <c r="L74"/>
      <c r="M74" s="28"/>
      <c r="N74"/>
      <c r="O74" s="36"/>
      <c r="P74" s="26"/>
      <c r="Q74" s="39"/>
      <c r="R74" s="39"/>
      <c r="S74" s="25"/>
      <c r="T74" s="25"/>
    </row>
    <row r="75" spans="2:20" x14ac:dyDescent="0.2">
      <c r="B75"/>
      <c r="C75"/>
      <c r="D75"/>
      <c r="E75" s="31"/>
      <c r="F75" s="28"/>
      <c r="G75"/>
      <c r="H75"/>
      <c r="I75"/>
      <c r="J75" s="28"/>
      <c r="K75" s="28"/>
      <c r="L75"/>
      <c r="M75" s="28"/>
      <c r="N75"/>
      <c r="O75" s="36"/>
      <c r="P75" s="26"/>
      <c r="Q75" s="39"/>
      <c r="R75" s="39"/>
      <c r="S75" s="25"/>
      <c r="T75" s="25"/>
    </row>
    <row r="76" spans="2:20" x14ac:dyDescent="0.2">
      <c r="B76"/>
      <c r="C76"/>
      <c r="D76"/>
      <c r="E76" s="31"/>
      <c r="F76" s="28"/>
      <c r="G76"/>
      <c r="H76"/>
      <c r="I76"/>
      <c r="J76" s="28"/>
      <c r="K76" s="28"/>
      <c r="L76"/>
      <c r="M76" s="28"/>
      <c r="N76"/>
      <c r="O76" s="36"/>
      <c r="P76" s="26"/>
      <c r="Q76" s="39"/>
      <c r="R76" s="39"/>
      <c r="S76" s="25"/>
      <c r="T76" s="25"/>
    </row>
    <row r="77" spans="2:20" x14ac:dyDescent="0.2">
      <c r="B77"/>
      <c r="C77"/>
      <c r="D77"/>
      <c r="E77" s="31"/>
      <c r="F77" s="28"/>
      <c r="G77"/>
      <c r="H77"/>
      <c r="I77"/>
      <c r="J77" s="28"/>
      <c r="K77" s="28"/>
      <c r="L77"/>
      <c r="M77" s="28"/>
      <c r="N77"/>
      <c r="O77" s="36"/>
      <c r="P77" s="26"/>
      <c r="Q77" s="39"/>
      <c r="R77" s="39"/>
      <c r="S77" s="25"/>
      <c r="T77" s="25"/>
    </row>
    <row r="78" spans="2:20" x14ac:dyDescent="0.2">
      <c r="B78"/>
      <c r="C78"/>
      <c r="D78"/>
      <c r="E78" s="31"/>
      <c r="F78" s="28"/>
      <c r="G78"/>
      <c r="H78"/>
      <c r="I78"/>
      <c r="J78" s="28"/>
      <c r="K78" s="28"/>
      <c r="L78"/>
      <c r="M78" s="28"/>
      <c r="N78"/>
      <c r="O78" s="36"/>
      <c r="P78" s="26"/>
      <c r="Q78" s="39"/>
      <c r="R78" s="39"/>
      <c r="S78" s="25"/>
      <c r="T78" s="25"/>
    </row>
    <row r="79" spans="2:20" x14ac:dyDescent="0.2">
      <c r="B79"/>
      <c r="C79"/>
      <c r="D79"/>
      <c r="E79" s="31"/>
      <c r="F79" s="28"/>
      <c r="G79"/>
      <c r="H79"/>
      <c r="I79"/>
      <c r="J79" s="28"/>
      <c r="K79" s="28"/>
      <c r="L79"/>
      <c r="M79" s="28"/>
      <c r="N79"/>
      <c r="O79" s="36"/>
      <c r="P79" s="26"/>
      <c r="Q79" s="39"/>
      <c r="R79" s="39"/>
      <c r="S79" s="25"/>
      <c r="T79" s="25"/>
    </row>
    <row r="80" spans="2:20" x14ac:dyDescent="0.2">
      <c r="B80"/>
      <c r="C80"/>
      <c r="D80"/>
      <c r="E80" s="31"/>
      <c r="F80" s="28"/>
      <c r="G80"/>
      <c r="H80"/>
      <c r="I80"/>
      <c r="J80" s="28"/>
      <c r="K80" s="28"/>
      <c r="L80"/>
      <c r="M80" s="28"/>
      <c r="N80"/>
      <c r="O80" s="36"/>
      <c r="P80" s="26"/>
      <c r="Q80" s="39"/>
      <c r="R80" s="39"/>
      <c r="S80" s="25"/>
      <c r="T80" s="25"/>
    </row>
    <row r="81" spans="2:20" x14ac:dyDescent="0.2">
      <c r="B81"/>
      <c r="C81"/>
      <c r="D81"/>
      <c r="E81" s="31"/>
      <c r="F81" s="28"/>
      <c r="G81"/>
      <c r="H81"/>
      <c r="I81"/>
      <c r="J81" s="28"/>
      <c r="K81" s="28"/>
      <c r="L81"/>
      <c r="M81" s="28"/>
      <c r="N81"/>
      <c r="O81" s="36"/>
      <c r="P81" s="26"/>
      <c r="Q81" s="39"/>
      <c r="R81" s="39"/>
      <c r="S81" s="25"/>
      <c r="T81" s="25"/>
    </row>
    <row r="82" spans="2:20" x14ac:dyDescent="0.2">
      <c r="B82"/>
      <c r="C82"/>
      <c r="D82"/>
      <c r="E82" s="31"/>
      <c r="F82" s="28"/>
      <c r="G82"/>
      <c r="H82"/>
      <c r="I82"/>
      <c r="J82" s="28"/>
      <c r="K82" s="28"/>
      <c r="L82"/>
      <c r="M82" s="28"/>
      <c r="N82"/>
      <c r="O82" s="36"/>
      <c r="P82" s="26"/>
      <c r="Q82" s="39"/>
      <c r="R82" s="39"/>
      <c r="S82" s="25"/>
      <c r="T82" s="25"/>
    </row>
    <row r="83" spans="2:20" x14ac:dyDescent="0.2">
      <c r="B83"/>
      <c r="C83"/>
      <c r="D83"/>
      <c r="E83" s="31"/>
      <c r="F83" s="28"/>
      <c r="G83"/>
      <c r="H83"/>
      <c r="I83"/>
      <c r="J83" s="28"/>
      <c r="K83" s="28"/>
      <c r="L83"/>
      <c r="M83" s="28"/>
      <c r="N83"/>
      <c r="O83" s="36"/>
      <c r="P83" s="26"/>
      <c r="Q83" s="39"/>
      <c r="R83" s="39"/>
      <c r="S83" s="25"/>
      <c r="T83" s="25"/>
    </row>
    <row r="84" spans="2:20" x14ac:dyDescent="0.2">
      <c r="B84"/>
      <c r="C84"/>
      <c r="D84"/>
      <c r="E84" s="31"/>
      <c r="F84" s="28"/>
      <c r="G84"/>
      <c r="H84"/>
      <c r="I84"/>
      <c r="J84" s="28"/>
      <c r="K84" s="28"/>
      <c r="L84"/>
      <c r="M84" s="28"/>
      <c r="N84"/>
      <c r="O84" s="36"/>
      <c r="P84" s="26"/>
      <c r="Q84" s="39"/>
      <c r="R84" s="39"/>
      <c r="S84" s="25"/>
      <c r="T84" s="25"/>
    </row>
    <row r="85" spans="2:20" x14ac:dyDescent="0.2">
      <c r="B85"/>
      <c r="C85"/>
      <c r="D85"/>
      <c r="E85" s="31"/>
      <c r="F85" s="28"/>
      <c r="G85"/>
      <c r="H85"/>
      <c r="I85"/>
      <c r="J85" s="28"/>
      <c r="K85" s="28"/>
      <c r="L85"/>
      <c r="M85" s="28"/>
      <c r="N85"/>
      <c r="O85" s="36"/>
      <c r="P85" s="26"/>
      <c r="Q85" s="39"/>
      <c r="R85" s="39"/>
      <c r="S85" s="25"/>
      <c r="T85" s="25"/>
    </row>
    <row r="86" spans="2:20" x14ac:dyDescent="0.2">
      <c r="B86"/>
      <c r="C86"/>
      <c r="D86"/>
      <c r="E86" s="31"/>
      <c r="F86" s="28"/>
      <c r="G86"/>
      <c r="H86"/>
      <c r="I86"/>
      <c r="J86" s="28"/>
      <c r="K86" s="28"/>
      <c r="L86"/>
      <c r="M86" s="28"/>
      <c r="N86"/>
      <c r="O86" s="36"/>
      <c r="P86" s="26"/>
      <c r="Q86" s="39"/>
      <c r="R86" s="39"/>
      <c r="S86" s="25"/>
      <c r="T86" s="25"/>
    </row>
    <row r="87" spans="2:20" x14ac:dyDescent="0.2">
      <c r="B87"/>
      <c r="C87"/>
      <c r="D87"/>
      <c r="E87" s="31"/>
      <c r="F87" s="28"/>
      <c r="G87"/>
      <c r="H87"/>
      <c r="I87"/>
      <c r="J87" s="28"/>
      <c r="K87" s="28"/>
      <c r="L87"/>
      <c r="M87" s="28"/>
      <c r="N87"/>
      <c r="O87" s="36"/>
      <c r="P87" s="26"/>
      <c r="Q87" s="39"/>
      <c r="R87" s="39"/>
      <c r="S87" s="25"/>
      <c r="T87" s="25"/>
    </row>
    <row r="88" spans="2:20" x14ac:dyDescent="0.2">
      <c r="B88"/>
      <c r="C88"/>
      <c r="D88"/>
      <c r="E88" s="31"/>
      <c r="F88" s="28"/>
      <c r="G88"/>
      <c r="H88"/>
      <c r="I88"/>
      <c r="J88" s="28"/>
      <c r="K88" s="28"/>
      <c r="L88"/>
      <c r="M88" s="28"/>
      <c r="N88"/>
      <c r="O88" s="36"/>
      <c r="P88" s="26"/>
      <c r="Q88" s="39"/>
      <c r="R88" s="39"/>
      <c r="S88" s="25"/>
      <c r="T88" s="25"/>
    </row>
    <row r="89" spans="2:20" x14ac:dyDescent="0.2">
      <c r="B89"/>
      <c r="C89"/>
      <c r="D89"/>
      <c r="E89" s="31"/>
      <c r="F89" s="28"/>
      <c r="G89"/>
      <c r="H89"/>
      <c r="I89"/>
      <c r="J89" s="28"/>
      <c r="K89" s="28"/>
      <c r="L89"/>
      <c r="M89" s="28"/>
      <c r="N89"/>
      <c r="O89" s="36"/>
      <c r="P89" s="26"/>
      <c r="Q89" s="39"/>
      <c r="R89" s="39"/>
      <c r="S89" s="25"/>
      <c r="T89" s="25"/>
    </row>
    <row r="90" spans="2:20" x14ac:dyDescent="0.2">
      <c r="B90"/>
      <c r="C90"/>
      <c r="D90"/>
      <c r="E90" s="31"/>
      <c r="F90" s="28"/>
      <c r="G90"/>
      <c r="H90"/>
      <c r="I90"/>
      <c r="J90" s="28"/>
      <c r="K90" s="28"/>
      <c r="L90"/>
      <c r="M90" s="28"/>
      <c r="N90"/>
      <c r="O90" s="36"/>
      <c r="P90" s="26"/>
      <c r="Q90" s="39"/>
      <c r="R90" s="39"/>
      <c r="S90" s="25"/>
      <c r="T90" s="25"/>
    </row>
    <row r="91" spans="2:20" x14ac:dyDescent="0.2">
      <c r="B91"/>
      <c r="C91"/>
      <c r="D91"/>
      <c r="E91" s="31"/>
      <c r="F91" s="28"/>
      <c r="G91"/>
      <c r="H91"/>
      <c r="I91"/>
      <c r="J91" s="28"/>
      <c r="K91" s="28"/>
      <c r="L91"/>
      <c r="M91" s="28"/>
      <c r="N91"/>
      <c r="O91" s="36"/>
      <c r="P91" s="26"/>
      <c r="Q91" s="39"/>
      <c r="R91" s="39"/>
      <c r="S91" s="25"/>
      <c r="T91" s="25"/>
    </row>
    <row r="92" spans="2:20" x14ac:dyDescent="0.2">
      <c r="B92"/>
      <c r="C92"/>
      <c r="D92"/>
      <c r="E92" s="31"/>
      <c r="F92" s="28"/>
      <c r="G92"/>
      <c r="H92"/>
      <c r="I92"/>
      <c r="J92" s="28"/>
      <c r="K92" s="28"/>
      <c r="L92"/>
      <c r="M92" s="28"/>
      <c r="N92"/>
      <c r="O92" s="36"/>
      <c r="P92" s="26"/>
      <c r="Q92" s="39"/>
      <c r="R92" s="39"/>
      <c r="S92" s="25"/>
      <c r="T92" s="25"/>
    </row>
    <row r="93" spans="2:20" x14ac:dyDescent="0.2">
      <c r="B93"/>
      <c r="C93"/>
      <c r="D93"/>
      <c r="E93" s="31"/>
      <c r="F93" s="28"/>
      <c r="G93"/>
      <c r="H93"/>
      <c r="I93"/>
      <c r="J93" s="28"/>
      <c r="K93" s="28"/>
      <c r="L93"/>
      <c r="M93" s="28"/>
      <c r="N93"/>
      <c r="O93" s="36"/>
      <c r="P93" s="26"/>
      <c r="Q93" s="39"/>
      <c r="R93" s="39"/>
      <c r="S93" s="25"/>
      <c r="T93" s="25"/>
    </row>
    <row r="94" spans="2:20" x14ac:dyDescent="0.2">
      <c r="B94"/>
      <c r="C94"/>
      <c r="D94"/>
      <c r="E94" s="31"/>
      <c r="F94" s="28"/>
      <c r="G94"/>
      <c r="H94"/>
      <c r="I94"/>
      <c r="J94" s="28"/>
      <c r="K94" s="28"/>
      <c r="L94"/>
      <c r="M94" s="28"/>
      <c r="N94"/>
      <c r="O94" s="36"/>
      <c r="P94" s="26"/>
      <c r="Q94" s="39"/>
      <c r="R94" s="39"/>
      <c r="S94" s="25"/>
      <c r="T94" s="25"/>
    </row>
    <row r="95" spans="2:20" x14ac:dyDescent="0.2">
      <c r="B95"/>
      <c r="C95"/>
      <c r="D95"/>
      <c r="E95" s="31"/>
      <c r="F95" s="28"/>
      <c r="G95"/>
      <c r="H95"/>
      <c r="I95"/>
      <c r="J95" s="28"/>
      <c r="K95" s="28"/>
      <c r="L95"/>
      <c r="M95" s="28"/>
      <c r="N95"/>
      <c r="O95" s="36"/>
      <c r="P95" s="26"/>
      <c r="Q95" s="39"/>
      <c r="R95" s="39"/>
      <c r="S95" s="25"/>
      <c r="T95" s="25"/>
    </row>
    <row r="96" spans="2:20" x14ac:dyDescent="0.2">
      <c r="B96"/>
      <c r="C96"/>
      <c r="D96"/>
      <c r="E96" s="31"/>
      <c r="F96" s="28"/>
      <c r="G96"/>
      <c r="H96"/>
      <c r="I96"/>
      <c r="J96" s="28"/>
      <c r="K96" s="28"/>
      <c r="L96"/>
      <c r="M96" s="28"/>
      <c r="N96"/>
      <c r="O96" s="36"/>
      <c r="P96" s="26"/>
      <c r="Q96" s="39"/>
      <c r="R96" s="39"/>
      <c r="S96" s="25"/>
      <c r="T96" s="25"/>
    </row>
    <row r="97" spans="2:20" x14ac:dyDescent="0.2">
      <c r="B97"/>
      <c r="C97"/>
      <c r="D97"/>
      <c r="E97" s="31"/>
      <c r="F97" s="28"/>
      <c r="G97"/>
      <c r="H97"/>
      <c r="I97"/>
      <c r="J97" s="28"/>
      <c r="K97" s="28"/>
      <c r="L97"/>
      <c r="M97" s="28"/>
      <c r="N97"/>
      <c r="O97" s="36"/>
      <c r="P97" s="26"/>
      <c r="Q97" s="39"/>
      <c r="R97" s="39"/>
      <c r="S97" s="25"/>
      <c r="T97" s="25"/>
    </row>
    <row r="98" spans="2:20" x14ac:dyDescent="0.2">
      <c r="B98"/>
      <c r="C98"/>
      <c r="D98"/>
      <c r="E98" s="31"/>
      <c r="F98" s="28"/>
      <c r="G98"/>
      <c r="H98"/>
      <c r="I98"/>
      <c r="J98" s="28"/>
      <c r="K98" s="28"/>
      <c r="L98"/>
      <c r="M98" s="28"/>
      <c r="N98"/>
      <c r="O98" s="36"/>
      <c r="P98" s="26"/>
      <c r="Q98" s="39"/>
      <c r="R98" s="39"/>
      <c r="S98" s="25"/>
      <c r="T98" s="25"/>
    </row>
    <row r="99" spans="2:20" x14ac:dyDescent="0.2">
      <c r="B99"/>
      <c r="C99"/>
      <c r="D99"/>
      <c r="E99" s="31"/>
      <c r="F99" s="28"/>
      <c r="G99"/>
      <c r="H99"/>
      <c r="I99"/>
      <c r="J99" s="28"/>
      <c r="K99" s="28"/>
      <c r="L99"/>
      <c r="M99" s="28"/>
      <c r="N99"/>
      <c r="O99" s="36"/>
      <c r="P99" s="26"/>
      <c r="Q99" s="39"/>
      <c r="R99" s="39"/>
      <c r="S99" s="25"/>
      <c r="T99" s="25"/>
    </row>
    <row r="100" spans="2:20" x14ac:dyDescent="0.2">
      <c r="B100"/>
      <c r="C100"/>
      <c r="D100"/>
      <c r="E100" s="31"/>
      <c r="F100" s="28"/>
      <c r="G100"/>
      <c r="H100"/>
      <c r="I100"/>
      <c r="J100" s="28"/>
      <c r="K100" s="28"/>
      <c r="L100"/>
      <c r="M100" s="28"/>
      <c r="N100"/>
      <c r="O100" s="36"/>
      <c r="P100" s="26"/>
      <c r="Q100" s="39"/>
      <c r="R100" s="39"/>
      <c r="S100" s="25"/>
      <c r="T100" s="25"/>
    </row>
  </sheetData>
  <protectedRanges>
    <protectedRange password="CE28" sqref="E1:W2" name="区域1"/>
  </protectedRanges>
  <customSheetViews>
    <customSheetView guid="{173361F4-9548-4F82-9CDA-4AC7CCF17BA4}" topLeftCell="A5">
      <selection activeCell="A5" sqref="A1:A1048576"/>
      <pageMargins left="0.7" right="0.7" top="0.75" bottom="0.75" header="0.3" footer="0.3"/>
      <pageSetup paperSize="9" orientation="portrait" r:id="rId1"/>
    </customSheetView>
  </customSheetViews>
  <mergeCells count="10">
    <mergeCell ref="A31:A37"/>
    <mergeCell ref="E1:W1"/>
    <mergeCell ref="F2:I2"/>
    <mergeCell ref="K2:L2"/>
    <mergeCell ref="W3:W14"/>
    <mergeCell ref="A5:A26"/>
    <mergeCell ref="M2:N2"/>
    <mergeCell ref="O2:P2"/>
    <mergeCell ref="Q2:T2"/>
    <mergeCell ref="U2:V2"/>
  </mergeCells>
  <phoneticPr fontId="1" type="noConversion"/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ThisWorkbook.bb">
                <anchor moveWithCells="1" sizeWithCells="1">
                  <from>
                    <xdr:col>0</xdr:col>
                    <xdr:colOff>57150</xdr:colOff>
                    <xdr:row>1</xdr:row>
                    <xdr:rowOff>0</xdr:rowOff>
                  </from>
                  <to>
                    <xdr:col>0</xdr:col>
                    <xdr:colOff>619125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thisworkbook.saveold">
                <anchor moveWithCells="1" sizeWithCells="1">
                  <from>
                    <xdr:col>0</xdr:col>
                    <xdr:colOff>57150</xdr:colOff>
                    <xdr:row>27</xdr:row>
                    <xdr:rowOff>0</xdr:rowOff>
                  </from>
                  <to>
                    <xdr:col>0</xdr:col>
                    <xdr:colOff>619125</xdr:colOff>
                    <xdr:row>28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5"/>
  <sheetViews>
    <sheetView workbookViewId="0">
      <selection activeCell="G14" sqref="G14"/>
    </sheetView>
  </sheetViews>
  <sheetFormatPr defaultRowHeight="14.25" x14ac:dyDescent="0.2"/>
  <sheetData>
    <row r="1" spans="1:4" x14ac:dyDescent="0.2">
      <c r="A1" t="s">
        <v>1</v>
      </c>
      <c r="B1" t="s">
        <v>2</v>
      </c>
      <c r="C1" t="s">
        <v>71</v>
      </c>
      <c r="D1" t="s">
        <v>51</v>
      </c>
    </row>
    <row r="5" spans="1:4" x14ac:dyDescent="0.2">
      <c r="C5" s="1"/>
      <c r="D5" s="1"/>
    </row>
    <row r="6" spans="1:4" x14ac:dyDescent="0.2">
      <c r="C6" s="1"/>
      <c r="D6" s="1"/>
    </row>
    <row r="7" spans="1:4" x14ac:dyDescent="0.2">
      <c r="A7">
        <v>1</v>
      </c>
      <c r="B7">
        <v>0.8</v>
      </c>
      <c r="C7" s="1">
        <v>1.6E-2</v>
      </c>
      <c r="D7" s="1">
        <v>1.6E-2</v>
      </c>
    </row>
    <row r="8" spans="1:4" x14ac:dyDescent="0.2">
      <c r="A8">
        <v>1</v>
      </c>
      <c r="B8">
        <v>0.8</v>
      </c>
      <c r="C8" s="1">
        <v>1.6E-2</v>
      </c>
      <c r="D8" s="1">
        <v>1.6E-2</v>
      </c>
    </row>
    <row r="9" spans="1:4" x14ac:dyDescent="0.2">
      <c r="A9">
        <v>1</v>
      </c>
      <c r="B9">
        <v>0.8</v>
      </c>
      <c r="C9" s="1">
        <v>1.6E-2</v>
      </c>
      <c r="D9" s="1">
        <v>1.6E-2</v>
      </c>
    </row>
    <row r="10" spans="1:4" x14ac:dyDescent="0.2">
      <c r="A10">
        <v>1</v>
      </c>
      <c r="B10">
        <v>0.8</v>
      </c>
      <c r="C10" s="1">
        <v>1.6E-2</v>
      </c>
      <c r="D10" s="1">
        <v>1.6E-2</v>
      </c>
    </row>
    <row r="11" spans="1:4" x14ac:dyDescent="0.2">
      <c r="A11">
        <v>1</v>
      </c>
      <c r="B11">
        <v>0.8</v>
      </c>
      <c r="C11" s="1">
        <v>1.6E-2</v>
      </c>
      <c r="D11" s="1">
        <v>1.6E-2</v>
      </c>
    </row>
    <row r="12" spans="1:4" x14ac:dyDescent="0.2">
      <c r="A12">
        <v>1</v>
      </c>
      <c r="B12">
        <v>0.8</v>
      </c>
      <c r="C12" s="1">
        <v>1.6E-2</v>
      </c>
      <c r="D12" s="1">
        <v>1.6E-2</v>
      </c>
    </row>
    <row r="13" spans="1:4" x14ac:dyDescent="0.2">
      <c r="A13">
        <v>1</v>
      </c>
      <c r="B13">
        <v>0.8</v>
      </c>
      <c r="C13" s="1">
        <v>1.6E-2</v>
      </c>
      <c r="D13" s="1">
        <v>1.6E-2</v>
      </c>
    </row>
    <row r="14" spans="1:4" x14ac:dyDescent="0.2">
      <c r="A14">
        <v>1</v>
      </c>
      <c r="B14">
        <v>0.8</v>
      </c>
      <c r="C14" s="1">
        <v>1.6E-2</v>
      </c>
      <c r="D14" s="1">
        <v>1.6E-2</v>
      </c>
    </row>
    <row r="15" spans="1:4" x14ac:dyDescent="0.2">
      <c r="A15">
        <v>1</v>
      </c>
      <c r="B15">
        <v>0.8</v>
      </c>
      <c r="C15" s="1">
        <v>1.6E-2</v>
      </c>
      <c r="D15" s="1">
        <v>1.6E-2</v>
      </c>
    </row>
    <row r="16" spans="1:4" x14ac:dyDescent="0.2">
      <c r="A16">
        <v>1</v>
      </c>
      <c r="B16">
        <v>0.8</v>
      </c>
      <c r="C16" s="1">
        <v>1.6E-2</v>
      </c>
      <c r="D16" s="1">
        <v>1.6E-2</v>
      </c>
    </row>
    <row r="17" spans="1:4" x14ac:dyDescent="0.2">
      <c r="A17">
        <v>1</v>
      </c>
      <c r="B17">
        <v>0.8</v>
      </c>
      <c r="C17" s="1">
        <v>1.6E-2</v>
      </c>
      <c r="D17" s="1">
        <v>1.6E-2</v>
      </c>
    </row>
    <row r="18" spans="1:4" x14ac:dyDescent="0.2">
      <c r="A18">
        <v>1</v>
      </c>
      <c r="B18">
        <v>0.8</v>
      </c>
      <c r="C18" s="1">
        <v>1.6E-2</v>
      </c>
      <c r="D18" s="1">
        <v>1.6E-2</v>
      </c>
    </row>
    <row r="19" spans="1:4" x14ac:dyDescent="0.2">
      <c r="A19">
        <v>1</v>
      </c>
      <c r="B19">
        <v>0.8</v>
      </c>
      <c r="C19" s="1">
        <v>1.6E-2</v>
      </c>
      <c r="D19" s="1">
        <v>1.6E-2</v>
      </c>
    </row>
    <row r="20" spans="1:4" x14ac:dyDescent="0.2">
      <c r="A20">
        <v>1</v>
      </c>
      <c r="B20">
        <v>0.8</v>
      </c>
      <c r="C20" s="1">
        <v>1.6E-2</v>
      </c>
      <c r="D20" s="1">
        <v>1.6E-2</v>
      </c>
    </row>
    <row r="21" spans="1:4" x14ac:dyDescent="0.2">
      <c r="A21">
        <v>1</v>
      </c>
      <c r="B21">
        <v>0.8</v>
      </c>
      <c r="C21" s="1">
        <v>1.6E-2</v>
      </c>
      <c r="D21" s="1">
        <v>1.6E-2</v>
      </c>
    </row>
    <row r="22" spans="1:4" x14ac:dyDescent="0.2">
      <c r="A22">
        <v>1</v>
      </c>
      <c r="B22">
        <v>0.8</v>
      </c>
      <c r="C22" s="1">
        <v>1.6E-2</v>
      </c>
      <c r="D22" s="1">
        <v>1.6E-2</v>
      </c>
    </row>
    <row r="23" spans="1:4" x14ac:dyDescent="0.2">
      <c r="A23">
        <v>1</v>
      </c>
      <c r="B23">
        <v>0.8</v>
      </c>
      <c r="C23" s="1">
        <v>1.6E-2</v>
      </c>
      <c r="D23" s="1">
        <v>1.6E-2</v>
      </c>
    </row>
    <row r="24" spans="1:4" x14ac:dyDescent="0.2">
      <c r="A24">
        <v>1</v>
      </c>
      <c r="B24">
        <v>0.8</v>
      </c>
      <c r="C24" s="1">
        <v>1.6E-2</v>
      </c>
      <c r="D24" s="1">
        <v>1.6E-2</v>
      </c>
    </row>
    <row r="25" spans="1:4" x14ac:dyDescent="0.2">
      <c r="A25">
        <v>1</v>
      </c>
      <c r="B25">
        <v>0.8</v>
      </c>
      <c r="C25" s="1">
        <v>1.6E-2</v>
      </c>
      <c r="D25" s="1">
        <v>1.6E-2</v>
      </c>
    </row>
    <row r="26" spans="1:4" x14ac:dyDescent="0.2">
      <c r="A26">
        <v>1</v>
      </c>
      <c r="B26">
        <v>0.8</v>
      </c>
      <c r="C26" s="1">
        <v>1.6E-2</v>
      </c>
      <c r="D26" s="1">
        <v>1.6E-2</v>
      </c>
    </row>
    <row r="27" spans="1:4" x14ac:dyDescent="0.2">
      <c r="A27">
        <v>1</v>
      </c>
      <c r="B27">
        <v>0.8</v>
      </c>
      <c r="C27" s="1">
        <v>1.6E-2</v>
      </c>
      <c r="D27" s="1">
        <v>1.6E-2</v>
      </c>
    </row>
    <row r="28" spans="1:4" x14ac:dyDescent="0.2">
      <c r="A28">
        <v>1</v>
      </c>
      <c r="B28">
        <v>0.8</v>
      </c>
      <c r="C28" s="1">
        <v>1.6E-2</v>
      </c>
      <c r="D28" s="1">
        <v>1.6E-2</v>
      </c>
    </row>
    <row r="29" spans="1:4" x14ac:dyDescent="0.2">
      <c r="A29">
        <v>1</v>
      </c>
      <c r="B29">
        <v>0.8</v>
      </c>
      <c r="C29" s="1">
        <v>1.6E-2</v>
      </c>
      <c r="D29" s="1">
        <v>1.6E-2</v>
      </c>
    </row>
    <row r="30" spans="1:4" x14ac:dyDescent="0.2">
      <c r="A30">
        <v>1</v>
      </c>
      <c r="B30">
        <v>0.8</v>
      </c>
      <c r="C30" s="1">
        <v>1.6E-2</v>
      </c>
      <c r="D30" s="1">
        <v>1.6E-2</v>
      </c>
    </row>
    <row r="31" spans="1:4" x14ac:dyDescent="0.2">
      <c r="A31">
        <v>1</v>
      </c>
      <c r="B31">
        <v>0.8</v>
      </c>
      <c r="C31" s="1">
        <v>1.6E-2</v>
      </c>
      <c r="D31" s="1">
        <v>1.6E-2</v>
      </c>
    </row>
    <row r="32" spans="1:4" x14ac:dyDescent="0.2">
      <c r="A32">
        <v>1</v>
      </c>
      <c r="B32">
        <v>0.8</v>
      </c>
      <c r="C32" s="1">
        <v>1.6E-2</v>
      </c>
      <c r="D32" s="1">
        <v>1.6E-2</v>
      </c>
    </row>
    <row r="33" spans="1:4" x14ac:dyDescent="0.2">
      <c r="A33">
        <v>1</v>
      </c>
      <c r="B33">
        <v>0.8</v>
      </c>
      <c r="C33" s="1">
        <v>1.6E-2</v>
      </c>
      <c r="D33" s="1">
        <v>1.6E-2</v>
      </c>
    </row>
    <row r="34" spans="1:4" x14ac:dyDescent="0.2">
      <c r="A34">
        <v>1</v>
      </c>
      <c r="B34">
        <v>0.8</v>
      </c>
      <c r="C34" s="1">
        <v>1.6E-2</v>
      </c>
      <c r="D34" s="1">
        <v>1.6E-2</v>
      </c>
    </row>
    <row r="35" spans="1:4" x14ac:dyDescent="0.2">
      <c r="A35">
        <v>1</v>
      </c>
      <c r="B35">
        <v>0.8</v>
      </c>
      <c r="C35" s="1">
        <v>1.6E-2</v>
      </c>
      <c r="D35" s="1">
        <v>1.6E-2</v>
      </c>
    </row>
    <row r="36" spans="1:4" x14ac:dyDescent="0.2">
      <c r="A36">
        <v>1</v>
      </c>
      <c r="B36">
        <v>0.8</v>
      </c>
      <c r="C36" s="1">
        <v>1.6E-2</v>
      </c>
      <c r="D36" s="1">
        <v>1.6E-2</v>
      </c>
    </row>
    <row r="37" spans="1:4" x14ac:dyDescent="0.2">
      <c r="A37">
        <v>1</v>
      </c>
      <c r="B37">
        <v>0.8</v>
      </c>
      <c r="C37" s="1">
        <v>1.6E-2</v>
      </c>
      <c r="D37" s="1">
        <v>1.6E-2</v>
      </c>
    </row>
    <row r="38" spans="1:4" x14ac:dyDescent="0.2">
      <c r="A38">
        <v>1</v>
      </c>
      <c r="B38">
        <v>0.8</v>
      </c>
      <c r="C38" s="1">
        <v>1.6E-2</v>
      </c>
      <c r="D38" s="1">
        <v>1.6E-2</v>
      </c>
    </row>
    <row r="39" spans="1:4" x14ac:dyDescent="0.2">
      <c r="A39">
        <v>1</v>
      </c>
      <c r="B39">
        <v>0.8</v>
      </c>
      <c r="C39" s="1">
        <v>1.6E-2</v>
      </c>
      <c r="D39" s="1">
        <v>1.6E-2</v>
      </c>
    </row>
    <row r="40" spans="1:4" x14ac:dyDescent="0.2">
      <c r="A40">
        <v>1</v>
      </c>
      <c r="B40">
        <v>0.8</v>
      </c>
      <c r="C40" s="1">
        <v>1.6E-2</v>
      </c>
      <c r="D40" s="1">
        <v>1.6E-2</v>
      </c>
    </row>
    <row r="41" spans="1:4" x14ac:dyDescent="0.2">
      <c r="C41" s="1">
        <v>1.6E-2</v>
      </c>
      <c r="D41" s="1">
        <v>1.6E-2</v>
      </c>
    </row>
    <row r="42" spans="1:4" x14ac:dyDescent="0.2">
      <c r="C42" s="1">
        <v>1.6E-2</v>
      </c>
      <c r="D42" s="1">
        <v>1.6E-2</v>
      </c>
    </row>
    <row r="43" spans="1:4" x14ac:dyDescent="0.2">
      <c r="C43" s="1">
        <v>1.6E-2</v>
      </c>
      <c r="D43" s="1">
        <v>1.6E-2</v>
      </c>
    </row>
    <row r="44" spans="1:4" x14ac:dyDescent="0.2">
      <c r="C44" s="1">
        <v>1.6E-2</v>
      </c>
      <c r="D44" s="1">
        <v>1.6E-2</v>
      </c>
    </row>
    <row r="45" spans="1:4" x14ac:dyDescent="0.2">
      <c r="C45" s="1">
        <v>1.6E-2</v>
      </c>
      <c r="D45" s="1">
        <v>1.6E-2</v>
      </c>
    </row>
  </sheetData>
  <customSheetViews>
    <customSheetView guid="{173361F4-9548-4F82-9CDA-4AC7CCF17BA4}">
      <selection activeCell="O28" sqref="O28"/>
      <pageMargins left="0.7" right="0.7" top="0.75" bottom="0.75" header="0.3" footer="0.3"/>
    </customSheetView>
  </customSheetView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100"/>
  <sheetViews>
    <sheetView topLeftCell="G1" workbookViewId="0">
      <selection activeCell="T12" sqref="T12"/>
    </sheetView>
  </sheetViews>
  <sheetFormatPr defaultRowHeight="14.25" x14ac:dyDescent="0.2"/>
  <sheetData>
    <row r="1" spans="1:22" ht="23.25" x14ac:dyDescent="0.2">
      <c r="A1" s="20"/>
      <c r="B1" s="15" t="s">
        <v>70</v>
      </c>
      <c r="C1" s="16"/>
      <c r="D1" s="16"/>
      <c r="E1" s="50" t="s">
        <v>13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ht="18" x14ac:dyDescent="0.2">
      <c r="A2" s="10"/>
      <c r="B2" s="22" t="s">
        <v>64</v>
      </c>
      <c r="C2" s="23"/>
      <c r="D2" s="24"/>
      <c r="E2" s="44" t="s">
        <v>10</v>
      </c>
      <c r="F2" s="52" t="s">
        <v>5</v>
      </c>
      <c r="G2" s="53"/>
      <c r="H2" s="53"/>
      <c r="I2" s="54"/>
      <c r="J2" s="29" t="s">
        <v>7</v>
      </c>
      <c r="K2" s="55" t="s">
        <v>6</v>
      </c>
      <c r="L2" s="55"/>
      <c r="M2" s="58" t="s">
        <v>4</v>
      </c>
      <c r="N2" s="58"/>
      <c r="O2" s="59" t="s">
        <v>8</v>
      </c>
      <c r="P2" s="59"/>
      <c r="Q2" s="60" t="s">
        <v>12</v>
      </c>
      <c r="R2" s="61"/>
      <c r="S2" s="61"/>
      <c r="T2" s="62"/>
      <c r="U2" s="58" t="s">
        <v>3</v>
      </c>
      <c r="V2" s="58"/>
    </row>
    <row r="3" spans="1:22" ht="18" x14ac:dyDescent="0.2">
      <c r="A3" s="10"/>
      <c r="E3" s="31"/>
      <c r="F3" s="28"/>
      <c r="J3" s="28"/>
      <c r="K3" s="28"/>
      <c r="M3" s="28"/>
      <c r="O3" s="36"/>
      <c r="P3" s="26"/>
      <c r="Q3" s="39"/>
      <c r="R3" s="39"/>
      <c r="S3" s="25"/>
      <c r="T3" s="25"/>
      <c r="U3" s="42"/>
      <c r="V3" s="8"/>
    </row>
    <row r="4" spans="1:22" x14ac:dyDescent="0.2">
      <c r="A4" s="21"/>
      <c r="E4" s="31"/>
      <c r="F4" s="28"/>
      <c r="H4" t="s">
        <v>22</v>
      </c>
      <c r="I4" t="s">
        <v>0</v>
      </c>
      <c r="J4" s="28"/>
      <c r="K4" s="28"/>
      <c r="M4" s="28"/>
      <c r="O4" s="36" t="s">
        <v>40</v>
      </c>
      <c r="P4" s="26" t="s">
        <v>39</v>
      </c>
      <c r="Q4" s="39"/>
      <c r="R4" s="39"/>
      <c r="S4" s="25"/>
      <c r="T4" s="25"/>
      <c r="U4" s="43"/>
      <c r="V4" s="14"/>
    </row>
    <row r="5" spans="1:22" ht="14.25" customHeight="1" x14ac:dyDescent="0.2">
      <c r="A5" s="48" t="s">
        <v>47</v>
      </c>
      <c r="E5" s="31"/>
      <c r="F5" s="28"/>
      <c r="H5" t="s">
        <v>48</v>
      </c>
      <c r="I5" t="s">
        <v>48</v>
      </c>
      <c r="J5" s="28"/>
      <c r="K5" s="28"/>
      <c r="M5" s="28"/>
      <c r="O5" s="36">
        <v>1.6E-2</v>
      </c>
      <c r="P5" s="26">
        <v>1.6E-2</v>
      </c>
      <c r="Q5" s="39" t="s">
        <v>68</v>
      </c>
      <c r="R5" s="39" t="s">
        <v>69</v>
      </c>
      <c r="S5" s="25" t="s">
        <v>62</v>
      </c>
      <c r="T5" s="25" t="s">
        <v>55</v>
      </c>
      <c r="U5" s="5"/>
      <c r="V5" s="6"/>
    </row>
    <row r="6" spans="1:22" x14ac:dyDescent="0.2">
      <c r="A6" s="49"/>
      <c r="B6" s="27" t="s">
        <v>14</v>
      </c>
      <c r="C6" s="27" t="s">
        <v>15</v>
      </c>
      <c r="D6" s="27" t="s">
        <v>16</v>
      </c>
      <c r="E6" s="32" t="s">
        <v>17</v>
      </c>
      <c r="F6" s="28" t="s">
        <v>18</v>
      </c>
      <c r="G6" t="s">
        <v>19</v>
      </c>
      <c r="H6" t="s">
        <v>20</v>
      </c>
      <c r="I6" t="s">
        <v>21</v>
      </c>
      <c r="J6" s="28" t="s">
        <v>65</v>
      </c>
      <c r="K6" s="28" t="s">
        <v>25</v>
      </c>
      <c r="L6" t="s">
        <v>26</v>
      </c>
      <c r="M6" s="28" t="s">
        <v>27</v>
      </c>
      <c r="N6" t="s">
        <v>28</v>
      </c>
      <c r="O6" s="36" t="s">
        <v>31</v>
      </c>
      <c r="P6" s="26" t="s">
        <v>32</v>
      </c>
      <c r="Q6" s="39" t="s">
        <v>33</v>
      </c>
      <c r="R6" s="39" t="s">
        <v>36</v>
      </c>
      <c r="S6" s="25" t="s">
        <v>34</v>
      </c>
      <c r="T6" s="25" t="s">
        <v>35</v>
      </c>
      <c r="U6" s="5" t="s">
        <v>37</v>
      </c>
      <c r="V6" s="6" t="s">
        <v>38</v>
      </c>
    </row>
    <row r="7" spans="1:22" x14ac:dyDescent="0.2">
      <c r="A7" s="49"/>
      <c r="B7">
        <v>39</v>
      </c>
      <c r="C7">
        <v>4.3499999999999996</v>
      </c>
      <c r="D7">
        <v>1305.83</v>
      </c>
      <c r="E7" s="31">
        <v>0.6</v>
      </c>
      <c r="F7" s="28">
        <v>1</v>
      </c>
      <c r="G7">
        <v>1</v>
      </c>
      <c r="H7">
        <v>1</v>
      </c>
      <c r="I7">
        <v>1</v>
      </c>
      <c r="J7" s="28" t="s">
        <v>66</v>
      </c>
      <c r="K7" s="28">
        <v>1</v>
      </c>
      <c r="L7">
        <v>1</v>
      </c>
      <c r="M7" s="28">
        <v>3.0718999999999999</v>
      </c>
      <c r="N7" t="s">
        <v>49</v>
      </c>
      <c r="O7" s="36">
        <v>8.4440000000000001E-2</v>
      </c>
      <c r="P7" s="26">
        <v>0.13319</v>
      </c>
      <c r="Q7" s="39">
        <f>1/2666</f>
        <v>3.7509377344336085E-4</v>
      </c>
      <c r="R7" s="39">
        <f>1/1360</f>
        <v>7.3529411764705881E-4</v>
      </c>
      <c r="S7" s="25">
        <f>1/2374</f>
        <v>4.2122999157540015E-4</v>
      </c>
      <c r="T7" s="25">
        <f>1/751</f>
        <v>1.3315579227696406E-3</v>
      </c>
      <c r="U7" s="5">
        <v>1.18</v>
      </c>
      <c r="V7" s="6">
        <v>1.03</v>
      </c>
    </row>
    <row r="8" spans="1:22" x14ac:dyDescent="0.2">
      <c r="A8" s="49"/>
      <c r="B8">
        <v>38</v>
      </c>
      <c r="C8">
        <v>3.3</v>
      </c>
      <c r="D8">
        <v>2173.0300000000002</v>
      </c>
      <c r="E8" s="31">
        <v>1.66</v>
      </c>
      <c r="F8" s="28">
        <v>6.0307000000000004</v>
      </c>
      <c r="G8">
        <v>5.2286000000000001</v>
      </c>
      <c r="H8">
        <v>3.5583999999999998</v>
      </c>
      <c r="I8">
        <v>3.0851000000000002</v>
      </c>
      <c r="J8" s="28" t="s">
        <v>23</v>
      </c>
      <c r="K8" s="28">
        <v>1.75</v>
      </c>
      <c r="L8">
        <v>4.8499999999999996</v>
      </c>
      <c r="M8" s="28">
        <v>2.4384999999999999</v>
      </c>
      <c r="N8" t="s">
        <v>52</v>
      </c>
      <c r="O8" s="36">
        <v>5.9799999999999999E-2</v>
      </c>
      <c r="P8" s="26">
        <v>8.2799999999999999E-2</v>
      </c>
      <c r="Q8" s="39">
        <f>1/2761</f>
        <v>3.6218761318362912E-4</v>
      </c>
      <c r="R8" s="39">
        <f>1/1396</f>
        <v>7.1633237822349568E-4</v>
      </c>
      <c r="S8" s="25">
        <f>1/3474</f>
        <v>2.878526194588371E-4</v>
      </c>
      <c r="T8" s="25">
        <f>1/803</f>
        <v>1.2453300124533001E-3</v>
      </c>
      <c r="U8" s="5">
        <v>1.1599999999999999</v>
      </c>
      <c r="V8" s="6">
        <v>1.1100000000000001</v>
      </c>
    </row>
    <row r="9" spans="1:22" x14ac:dyDescent="0.2">
      <c r="A9" s="49"/>
      <c r="B9">
        <v>37</v>
      </c>
      <c r="C9">
        <v>3.15</v>
      </c>
      <c r="D9">
        <v>1796.81</v>
      </c>
      <c r="E9" s="31">
        <v>1</v>
      </c>
      <c r="F9" s="28">
        <v>2.2475999999999998</v>
      </c>
      <c r="G9">
        <v>2.1105</v>
      </c>
      <c r="H9">
        <v>1.6687000000000001</v>
      </c>
      <c r="I9">
        <v>1.5669</v>
      </c>
      <c r="J9" s="28" t="s">
        <v>24</v>
      </c>
      <c r="K9" s="28">
        <v>1.38</v>
      </c>
      <c r="L9">
        <v>1.02</v>
      </c>
      <c r="M9" s="28">
        <v>1.3284</v>
      </c>
      <c r="N9" t="s">
        <v>53</v>
      </c>
      <c r="O9" s="36">
        <v>5.296E-2</v>
      </c>
      <c r="P9" s="26">
        <v>7.22E-2</v>
      </c>
      <c r="Q9" s="39">
        <f>1/2891</f>
        <v>3.4590107229332413E-4</v>
      </c>
      <c r="R9" s="39">
        <f>1/1398</f>
        <v>7.1530758226037196E-4</v>
      </c>
      <c r="S9" s="25">
        <f>1/3628</f>
        <v>2.7563395810363837E-4</v>
      </c>
      <c r="T9" s="25">
        <f>1/806</f>
        <v>1.2406947890818859E-3</v>
      </c>
      <c r="U9" s="5">
        <v>1.21</v>
      </c>
      <c r="V9" s="6">
        <v>1.07</v>
      </c>
    </row>
    <row r="10" spans="1:22" x14ac:dyDescent="0.2">
      <c r="A10" s="49"/>
      <c r="B10">
        <v>36</v>
      </c>
      <c r="C10">
        <v>3.15</v>
      </c>
      <c r="D10">
        <v>1796.15</v>
      </c>
      <c r="E10" s="31">
        <v>1</v>
      </c>
      <c r="F10" s="28">
        <v>1.6984999999999999</v>
      </c>
      <c r="G10">
        <v>1.7342</v>
      </c>
      <c r="H10">
        <v>1.321</v>
      </c>
      <c r="I10">
        <v>1.3489</v>
      </c>
      <c r="J10" s="28"/>
      <c r="K10" s="28">
        <v>1.02</v>
      </c>
      <c r="L10">
        <v>1.02</v>
      </c>
      <c r="M10" s="28">
        <v>0.71</v>
      </c>
      <c r="N10" t="s">
        <v>54</v>
      </c>
      <c r="O10" s="36">
        <v>4.752E-2</v>
      </c>
      <c r="P10" s="26">
        <v>6.3820000000000002E-2</v>
      </c>
      <c r="Q10" s="39">
        <f>1/2815</f>
        <v>3.5523978685612787E-4</v>
      </c>
      <c r="R10" s="39">
        <f>1/1392</f>
        <v>7.1839080459770114E-4</v>
      </c>
      <c r="S10" s="25">
        <f>1/3555</f>
        <v>2.8129395218002813E-4</v>
      </c>
      <c r="T10" s="25">
        <f>1/805</f>
        <v>1.2422360248447205E-3</v>
      </c>
      <c r="U10" s="5"/>
      <c r="V10" s="6"/>
    </row>
    <row r="11" spans="1:22" x14ac:dyDescent="0.2">
      <c r="A11" s="49"/>
      <c r="B11">
        <v>35</v>
      </c>
      <c r="C11">
        <v>3.15</v>
      </c>
      <c r="D11">
        <v>1796.15</v>
      </c>
      <c r="E11" s="31">
        <v>1</v>
      </c>
      <c r="F11" s="28">
        <v>1.5896999999999999</v>
      </c>
      <c r="G11">
        <v>1.6134999999999999</v>
      </c>
      <c r="H11">
        <v>1.2363999999999999</v>
      </c>
      <c r="I11">
        <v>1.2548999999999999</v>
      </c>
      <c r="J11" s="28"/>
      <c r="K11" s="28">
        <v>1.02</v>
      </c>
      <c r="L11">
        <v>1.02</v>
      </c>
      <c r="M11" s="28">
        <v>0.62729999999999997</v>
      </c>
      <c r="N11" t="s">
        <v>49</v>
      </c>
      <c r="O11" s="36">
        <v>4.2939999999999999E-2</v>
      </c>
      <c r="P11" s="26">
        <v>5.6759999999999998E-2</v>
      </c>
      <c r="Q11" s="39">
        <f>1/2728</f>
        <v>3.6656891495601173E-4</v>
      </c>
      <c r="R11" s="39">
        <f>1/1387</f>
        <v>7.2098053352559477E-4</v>
      </c>
      <c r="S11" s="25">
        <f>1/3471</f>
        <v>2.8810141169691731E-4</v>
      </c>
      <c r="T11" s="25">
        <f>1/803</f>
        <v>1.2453300124533001E-3</v>
      </c>
      <c r="U11" s="5"/>
      <c r="V11" s="6"/>
    </row>
    <row r="12" spans="1:22" x14ac:dyDescent="0.2">
      <c r="A12" s="49"/>
      <c r="B12">
        <v>34</v>
      </c>
      <c r="C12">
        <v>3.15</v>
      </c>
      <c r="D12">
        <v>1796.15</v>
      </c>
      <c r="E12" s="31">
        <v>1</v>
      </c>
      <c r="F12" s="28">
        <v>1.5223</v>
      </c>
      <c r="G12">
        <v>1.5528999999999999</v>
      </c>
      <c r="H12">
        <v>1.1973</v>
      </c>
      <c r="I12">
        <v>1.2078</v>
      </c>
      <c r="J12" s="28"/>
      <c r="K12" s="28">
        <v>1.02</v>
      </c>
      <c r="L12">
        <v>1.02</v>
      </c>
      <c r="M12" s="28" t="s">
        <v>29</v>
      </c>
      <c r="N12" s="1">
        <v>0.94450000000000001</v>
      </c>
      <c r="O12" s="36">
        <v>3.918E-2</v>
      </c>
      <c r="P12" s="26">
        <v>5.0880000000000002E-2</v>
      </c>
      <c r="Q12" s="39">
        <f>1/2641</f>
        <v>3.786444528587656E-4</v>
      </c>
      <c r="R12" s="39">
        <f>1/1384</f>
        <v>7.2254335260115603E-4</v>
      </c>
      <c r="S12" s="25">
        <f>1/3376</f>
        <v>2.9620853080568723E-4</v>
      </c>
      <c r="T12" s="25">
        <f>1/802</f>
        <v>1.2468827930174563E-3</v>
      </c>
      <c r="U12" s="5"/>
      <c r="V12" s="6"/>
    </row>
    <row r="13" spans="1:22" x14ac:dyDescent="0.2">
      <c r="A13" s="49"/>
      <c r="B13">
        <v>33</v>
      </c>
      <c r="C13">
        <v>3.15</v>
      </c>
      <c r="D13">
        <v>1796.15</v>
      </c>
      <c r="E13" s="31">
        <v>1</v>
      </c>
      <c r="F13" s="28">
        <v>1.4407000000000001</v>
      </c>
      <c r="G13">
        <v>1.4609000000000001</v>
      </c>
      <c r="H13">
        <v>1.179</v>
      </c>
      <c r="I13">
        <v>1.1837</v>
      </c>
      <c r="J13" s="28"/>
      <c r="K13" s="28">
        <v>1.02</v>
      </c>
      <c r="L13">
        <v>1.02</v>
      </c>
      <c r="M13" s="28" t="s">
        <v>30</v>
      </c>
      <c r="N13" s="1">
        <v>0.95420000000000005</v>
      </c>
      <c r="O13" s="36">
        <v>3.6290000000000003E-2</v>
      </c>
      <c r="P13" s="26">
        <v>4.607E-2</v>
      </c>
      <c r="Q13" s="39">
        <f>1/2560</f>
        <v>3.9062500000000002E-4</v>
      </c>
      <c r="R13" s="39">
        <f>1/1381</f>
        <v>7.2411296162201298E-4</v>
      </c>
      <c r="S13" s="25">
        <f>1/3281</f>
        <v>3.0478512648582747E-4</v>
      </c>
      <c r="T13" s="25">
        <f>1/801</f>
        <v>1.2484394506866417E-3</v>
      </c>
      <c r="U13" s="5"/>
      <c r="V13" s="6"/>
    </row>
    <row r="14" spans="1:22" x14ac:dyDescent="0.2">
      <c r="A14" s="49"/>
      <c r="B14">
        <v>32</v>
      </c>
      <c r="C14">
        <v>3.15</v>
      </c>
      <c r="D14">
        <v>1796.15</v>
      </c>
      <c r="E14" s="31">
        <v>1</v>
      </c>
      <c r="F14" s="28">
        <v>1.4014</v>
      </c>
      <c r="G14">
        <v>1.4091</v>
      </c>
      <c r="H14">
        <v>1.1697</v>
      </c>
      <c r="I14">
        <v>1.1698999999999999</v>
      </c>
      <c r="J14" s="28"/>
      <c r="K14" s="28">
        <v>1.02</v>
      </c>
      <c r="L14">
        <v>1.02</v>
      </c>
      <c r="M14" s="28" t="s">
        <v>67</v>
      </c>
      <c r="N14">
        <v>0.43</v>
      </c>
      <c r="O14" s="36">
        <v>3.4119999999999998E-2</v>
      </c>
      <c r="P14" s="26">
        <v>4.2130000000000001E-2</v>
      </c>
      <c r="Q14" s="39">
        <f>1/2489</f>
        <v>4.017677782241864E-4</v>
      </c>
      <c r="R14" s="39">
        <f>1/1381</f>
        <v>7.2411296162201298E-4</v>
      </c>
      <c r="S14" s="25">
        <f>1/3189</f>
        <v>3.1357792411414236E-4</v>
      </c>
      <c r="T14" s="25">
        <f>1/800</f>
        <v>1.25E-3</v>
      </c>
      <c r="U14" s="5"/>
      <c r="V14" s="6"/>
    </row>
    <row r="15" spans="1:22" x14ac:dyDescent="0.2">
      <c r="A15" s="49"/>
      <c r="B15">
        <v>31</v>
      </c>
      <c r="C15">
        <v>3.15</v>
      </c>
      <c r="D15">
        <v>1796.15</v>
      </c>
      <c r="E15" s="31">
        <v>1.07</v>
      </c>
      <c r="F15" s="28">
        <v>1.3744000000000001</v>
      </c>
      <c r="G15">
        <v>1.3755999999999999</v>
      </c>
      <c r="H15">
        <v>1.1587000000000001</v>
      </c>
      <c r="I15">
        <v>1.1579999999999999</v>
      </c>
      <c r="J15" s="28"/>
      <c r="K15" s="28">
        <v>1.03</v>
      </c>
      <c r="L15">
        <v>1.02</v>
      </c>
      <c r="M15" s="28"/>
      <c r="O15" s="36">
        <v>3.236E-2</v>
      </c>
      <c r="P15" s="26">
        <v>3.882E-2</v>
      </c>
      <c r="Q15" s="39">
        <f>1/2411</f>
        <v>4.1476565740356696E-4</v>
      </c>
      <c r="R15" s="39">
        <f>1/1381</f>
        <v>7.2411296162201298E-4</v>
      </c>
      <c r="S15" s="25">
        <f>1/3079</f>
        <v>3.2478077297823967E-4</v>
      </c>
      <c r="T15" s="25">
        <f>1/799</f>
        <v>1.2515644555694619E-3</v>
      </c>
      <c r="U15" s="5"/>
      <c r="V15" s="6"/>
    </row>
    <row r="16" spans="1:22" x14ac:dyDescent="0.2">
      <c r="A16" s="49"/>
      <c r="B16">
        <v>30</v>
      </c>
      <c r="C16">
        <v>3</v>
      </c>
      <c r="D16">
        <v>1681.34</v>
      </c>
      <c r="E16" s="31">
        <v>0.94</v>
      </c>
      <c r="F16" s="28">
        <v>1.4039999999999999</v>
      </c>
      <c r="G16">
        <v>1.4135</v>
      </c>
      <c r="H16">
        <v>1.1371</v>
      </c>
      <c r="I16">
        <v>1.1451</v>
      </c>
      <c r="J16" s="28"/>
      <c r="K16" s="28">
        <v>0.94</v>
      </c>
      <c r="L16">
        <v>0.97</v>
      </c>
      <c r="M16" s="28"/>
      <c r="O16" s="36">
        <v>3.0790000000000001E-2</v>
      </c>
      <c r="P16" s="26">
        <v>3.5999999999999997E-2</v>
      </c>
      <c r="Q16" s="39">
        <f>1/2338</f>
        <v>4.2771599657827201E-4</v>
      </c>
      <c r="R16" s="39">
        <f>1/1380</f>
        <v>7.246376811594203E-4</v>
      </c>
      <c r="S16" s="25">
        <f>1/2970</f>
        <v>3.3670033670033672E-4</v>
      </c>
      <c r="T16" s="25">
        <f>1/798</f>
        <v>1.2531328320802004E-3</v>
      </c>
      <c r="U16" s="5"/>
      <c r="V16" s="6"/>
    </row>
    <row r="17" spans="1:22" x14ac:dyDescent="0.2">
      <c r="A17" s="49"/>
      <c r="B17">
        <v>29</v>
      </c>
      <c r="C17">
        <v>3.15</v>
      </c>
      <c r="D17">
        <v>1796.81</v>
      </c>
      <c r="E17" s="31">
        <v>1.07</v>
      </c>
      <c r="F17" s="28">
        <v>1.3251999999999999</v>
      </c>
      <c r="G17">
        <v>1.3157000000000001</v>
      </c>
      <c r="H17">
        <v>1.1639999999999999</v>
      </c>
      <c r="I17">
        <v>1.1506000000000001</v>
      </c>
      <c r="J17" s="28"/>
      <c r="K17" s="28">
        <v>1.0900000000000001</v>
      </c>
      <c r="L17">
        <v>1.01</v>
      </c>
      <c r="M17" s="28"/>
      <c r="O17" s="36">
        <v>2.9260000000000001E-2</v>
      </c>
      <c r="P17" s="26">
        <v>3.338E-2</v>
      </c>
      <c r="Q17" s="39">
        <f>1/2332</f>
        <v>4.288164665523156E-4</v>
      </c>
      <c r="R17" s="39">
        <f>1/1395</f>
        <v>7.1684587813620072E-4</v>
      </c>
      <c r="S17" s="25">
        <f>1/2951</f>
        <v>3.3886818027787193E-4</v>
      </c>
      <c r="T17" s="25">
        <f>1/804</f>
        <v>1.2437810945273632E-3</v>
      </c>
      <c r="U17" s="5"/>
      <c r="V17" s="6"/>
    </row>
    <row r="18" spans="1:22" x14ac:dyDescent="0.2">
      <c r="A18" s="49"/>
      <c r="B18">
        <v>28</v>
      </c>
      <c r="C18">
        <v>3.15</v>
      </c>
      <c r="D18">
        <v>1796.15</v>
      </c>
      <c r="E18" s="31">
        <v>1</v>
      </c>
      <c r="F18" s="28">
        <v>1.3078000000000001</v>
      </c>
      <c r="G18">
        <v>1.3011999999999999</v>
      </c>
      <c r="H18">
        <v>1.1374</v>
      </c>
      <c r="I18">
        <v>1.1377999999999999</v>
      </c>
      <c r="J18" s="28"/>
      <c r="K18" s="28">
        <v>1.02</v>
      </c>
      <c r="L18">
        <v>1.01</v>
      </c>
      <c r="M18" s="28"/>
      <c r="O18" s="36">
        <v>2.7820000000000001E-2</v>
      </c>
      <c r="P18" s="26">
        <v>3.1019999999999999E-2</v>
      </c>
      <c r="Q18" s="39">
        <f>1/2294</f>
        <v>4.3591979075850045E-4</v>
      </c>
      <c r="R18" s="39">
        <f>1/1405</f>
        <v>7.1174377224199293E-4</v>
      </c>
      <c r="S18" s="25">
        <f>1/2879</f>
        <v>3.4734282737061478E-4</v>
      </c>
      <c r="T18" s="25">
        <f>1/807</f>
        <v>1.2391573729863693E-3</v>
      </c>
      <c r="U18" s="5"/>
      <c r="V18" s="6"/>
    </row>
    <row r="19" spans="1:22" x14ac:dyDescent="0.2">
      <c r="A19" s="49"/>
      <c r="B19">
        <v>27</v>
      </c>
      <c r="C19">
        <v>3.15</v>
      </c>
      <c r="D19">
        <v>1796.15</v>
      </c>
      <c r="E19" s="31">
        <v>1</v>
      </c>
      <c r="F19" s="28">
        <v>1.2959000000000001</v>
      </c>
      <c r="G19">
        <v>1.2909999999999999</v>
      </c>
      <c r="H19">
        <v>1.1351</v>
      </c>
      <c r="I19">
        <v>1.1349</v>
      </c>
      <c r="J19" s="28"/>
      <c r="K19" s="28">
        <v>1.02</v>
      </c>
      <c r="L19">
        <v>1.01</v>
      </c>
      <c r="M19" s="28"/>
      <c r="O19" s="36">
        <v>2.648E-2</v>
      </c>
      <c r="P19" s="26">
        <v>2.8910000000000002E-2</v>
      </c>
      <c r="Q19" s="39">
        <f>1/2265</f>
        <v>4.4150110375275938E-4</v>
      </c>
      <c r="R19" s="39">
        <f>1/1418</f>
        <v>7.0521861777150916E-4</v>
      </c>
      <c r="S19" s="25">
        <f>1/2819</f>
        <v>3.5473572188719402E-4</v>
      </c>
      <c r="T19" s="25">
        <f>1/812</f>
        <v>1.2315270935960591E-3</v>
      </c>
      <c r="U19" s="5"/>
      <c r="V19" s="6"/>
    </row>
    <row r="20" spans="1:22" x14ac:dyDescent="0.2">
      <c r="A20" s="49"/>
      <c r="B20">
        <v>26</v>
      </c>
      <c r="C20">
        <v>3.15</v>
      </c>
      <c r="D20">
        <v>1796.15</v>
      </c>
      <c r="E20" s="31">
        <v>1</v>
      </c>
      <c r="F20" s="28">
        <v>1.3037000000000001</v>
      </c>
      <c r="G20">
        <v>1.3057000000000001</v>
      </c>
      <c r="H20">
        <v>1.1337999999999999</v>
      </c>
      <c r="I20">
        <v>1.1355</v>
      </c>
      <c r="J20" s="28"/>
      <c r="K20" s="28">
        <v>1.02</v>
      </c>
      <c r="L20">
        <v>1.0900000000000001</v>
      </c>
      <c r="M20" s="28"/>
      <c r="O20" s="36">
        <v>2.5260000000000001E-2</v>
      </c>
      <c r="P20" s="26">
        <v>2.707E-2</v>
      </c>
      <c r="Q20" s="39">
        <f>1/2241</f>
        <v>4.4622936189201248E-4</v>
      </c>
      <c r="R20" s="39">
        <f>1/1433</f>
        <v>6.9783670621074664E-4</v>
      </c>
      <c r="S20" s="25">
        <f>1/2764</f>
        <v>3.6179450072358897E-4</v>
      </c>
      <c r="T20" s="25">
        <f>1/817</f>
        <v>1.2239902080783353E-3</v>
      </c>
      <c r="U20" s="5"/>
      <c r="V20" s="6"/>
    </row>
    <row r="21" spans="1:22" x14ac:dyDescent="0.2">
      <c r="A21" s="49"/>
      <c r="B21">
        <v>25</v>
      </c>
      <c r="C21">
        <v>3.15</v>
      </c>
      <c r="D21">
        <v>1796.15</v>
      </c>
      <c r="E21" s="31">
        <v>1</v>
      </c>
      <c r="F21" s="28">
        <v>1.3063</v>
      </c>
      <c r="G21">
        <v>1.3091999999999999</v>
      </c>
      <c r="H21">
        <v>1.1375999999999999</v>
      </c>
      <c r="I21">
        <v>1.1391</v>
      </c>
      <c r="J21" s="28"/>
      <c r="K21" s="28">
        <v>1.08</v>
      </c>
      <c r="L21">
        <v>1.0900000000000001</v>
      </c>
      <c r="M21" s="28"/>
      <c r="O21" s="36">
        <v>2.418E-2</v>
      </c>
      <c r="P21" s="26">
        <v>2.5520000000000001E-2</v>
      </c>
      <c r="Q21" s="39">
        <f>1/2230</f>
        <v>4.4843049327354261E-4</v>
      </c>
      <c r="R21" s="39">
        <f>1/1452</f>
        <v>6.8870523415977963E-4</v>
      </c>
      <c r="S21" s="25">
        <f>1/2725</f>
        <v>3.6697247706422018E-4</v>
      </c>
      <c r="T21" s="25">
        <f>1/825</f>
        <v>1.2121212121212121E-3</v>
      </c>
      <c r="U21" s="5"/>
      <c r="V21" s="6"/>
    </row>
    <row r="22" spans="1:22" x14ac:dyDescent="0.2">
      <c r="A22" s="49"/>
      <c r="B22">
        <v>24</v>
      </c>
      <c r="C22">
        <v>3.15</v>
      </c>
      <c r="D22">
        <v>1796.15</v>
      </c>
      <c r="E22" s="31">
        <v>1</v>
      </c>
      <c r="F22" s="28">
        <v>1.3036000000000001</v>
      </c>
      <c r="G22">
        <v>1.3164</v>
      </c>
      <c r="H22">
        <v>1.1332</v>
      </c>
      <c r="I22">
        <v>1.1428</v>
      </c>
      <c r="J22" s="28"/>
      <c r="K22" s="28">
        <v>1.01</v>
      </c>
      <c r="L22">
        <v>1.01</v>
      </c>
      <c r="M22" s="28"/>
      <c r="O22" s="36">
        <v>2.3220000000000001E-2</v>
      </c>
      <c r="P22" s="26">
        <v>2.4230000000000002E-2</v>
      </c>
      <c r="Q22" s="39">
        <f>1/2213</f>
        <v>4.5187528242205153E-4</v>
      </c>
      <c r="R22" s="39">
        <f>1/1472</f>
        <v>6.793478260869565E-4</v>
      </c>
      <c r="S22" s="25">
        <f>1/2681</f>
        <v>3.729951510630362E-4</v>
      </c>
      <c r="T22" s="25">
        <f>1/833</f>
        <v>1.2004801920768306E-3</v>
      </c>
      <c r="U22" s="5"/>
      <c r="V22" s="6"/>
    </row>
    <row r="23" spans="1:22" x14ac:dyDescent="0.2">
      <c r="A23" s="49"/>
      <c r="B23">
        <v>23</v>
      </c>
      <c r="C23">
        <v>3.15</v>
      </c>
      <c r="D23">
        <v>1796.15</v>
      </c>
      <c r="E23" s="31">
        <v>1</v>
      </c>
      <c r="F23" s="28">
        <v>1.3019000000000001</v>
      </c>
      <c r="G23">
        <v>1.3272999999999999</v>
      </c>
      <c r="H23">
        <v>1.1334</v>
      </c>
      <c r="I23">
        <v>1.1486000000000001</v>
      </c>
      <c r="J23" s="28"/>
      <c r="K23" s="28">
        <v>1.01</v>
      </c>
      <c r="L23">
        <v>0.93</v>
      </c>
      <c r="M23" s="28"/>
      <c r="O23" s="36">
        <v>2.2339999999999999E-2</v>
      </c>
      <c r="P23" s="26">
        <v>2.317E-2</v>
      </c>
      <c r="Q23" s="39">
        <f>1/2199</f>
        <v>4.5475216007276033E-4</v>
      </c>
      <c r="R23" s="39">
        <f>1/1495</f>
        <v>6.6889632107023408E-4</v>
      </c>
      <c r="S23" s="25">
        <f>1/2641</f>
        <v>3.786444528587656E-4</v>
      </c>
      <c r="T23" s="25">
        <f>1/843</f>
        <v>1.1862396204033216E-3</v>
      </c>
      <c r="U23" s="5"/>
      <c r="V23" s="6"/>
    </row>
    <row r="24" spans="1:22" x14ac:dyDescent="0.2">
      <c r="A24" s="49"/>
      <c r="B24">
        <v>22</v>
      </c>
      <c r="C24">
        <v>3.15</v>
      </c>
      <c r="D24">
        <v>1796.15</v>
      </c>
      <c r="E24" s="31">
        <v>1</v>
      </c>
      <c r="F24" s="28">
        <v>1.3015000000000001</v>
      </c>
      <c r="G24">
        <v>1.34</v>
      </c>
      <c r="H24">
        <v>1.1344000000000001</v>
      </c>
      <c r="I24">
        <v>1.1546000000000001</v>
      </c>
      <c r="J24" s="28"/>
      <c r="K24" s="28">
        <v>1.01</v>
      </c>
      <c r="L24">
        <v>1.01</v>
      </c>
      <c r="M24" s="28"/>
      <c r="O24" s="36">
        <v>2.1559999999999999E-2</v>
      </c>
      <c r="P24" s="26">
        <v>2.23E-2</v>
      </c>
      <c r="Q24" s="39">
        <f>1/2189</f>
        <v>4.5682960255824577E-4</v>
      </c>
      <c r="R24" s="39">
        <f>1/1522</f>
        <v>6.5703022339027597E-4</v>
      </c>
      <c r="S24" s="25">
        <f>1/2606</f>
        <v>3.8372985418265541E-4</v>
      </c>
      <c r="T24" s="25">
        <f>1/854</f>
        <v>1.17096018735363E-3</v>
      </c>
      <c r="U24" s="5"/>
      <c r="V24" s="6"/>
    </row>
    <row r="25" spans="1:22" x14ac:dyDescent="0.2">
      <c r="A25" s="49"/>
      <c r="B25">
        <v>21</v>
      </c>
      <c r="C25">
        <v>3.15</v>
      </c>
      <c r="D25">
        <v>1796.15</v>
      </c>
      <c r="E25" s="31">
        <v>1</v>
      </c>
      <c r="F25" s="28">
        <v>1.3044</v>
      </c>
      <c r="G25">
        <v>1.3535999999999999</v>
      </c>
      <c r="H25">
        <v>1.1362000000000001</v>
      </c>
      <c r="I25">
        <v>1.1604000000000001</v>
      </c>
      <c r="J25" s="28"/>
      <c r="K25" s="28">
        <v>1.01</v>
      </c>
      <c r="L25">
        <v>1.01</v>
      </c>
      <c r="M25" s="28"/>
      <c r="O25" s="36">
        <v>2.0889999999999999E-2</v>
      </c>
      <c r="P25" s="26">
        <v>2.1600000000000001E-2</v>
      </c>
      <c r="Q25" s="39">
        <f>1/2182</f>
        <v>4.5829514207149406E-4</v>
      </c>
      <c r="R25" s="39">
        <f>1/1552</f>
        <v>6.4432989690721648E-4</v>
      </c>
      <c r="S25" s="25">
        <f>1/2578</f>
        <v>3.8789759503491078E-4</v>
      </c>
      <c r="T25" s="25">
        <f>1/868</f>
        <v>1.152073732718894E-3</v>
      </c>
      <c r="U25" s="5"/>
      <c r="V25" s="6"/>
    </row>
    <row r="26" spans="1:22" x14ac:dyDescent="0.2">
      <c r="A26" s="49"/>
      <c r="B26">
        <v>20</v>
      </c>
      <c r="C26">
        <v>3.15</v>
      </c>
      <c r="D26">
        <v>1796.15</v>
      </c>
      <c r="E26" s="31">
        <v>1</v>
      </c>
      <c r="F26" s="28">
        <v>1.3108</v>
      </c>
      <c r="G26">
        <v>1.3672</v>
      </c>
      <c r="H26">
        <v>1.1402000000000001</v>
      </c>
      <c r="I26">
        <v>1.1661999999999999</v>
      </c>
      <c r="J26" s="28"/>
      <c r="K26" s="28">
        <v>1.07</v>
      </c>
      <c r="L26">
        <v>1.08</v>
      </c>
      <c r="M26" s="28"/>
      <c r="O26" s="36">
        <v>2.0299999999999999E-2</v>
      </c>
      <c r="P26" s="26">
        <v>2.104E-2</v>
      </c>
      <c r="Q26" s="39">
        <f>1/2183</f>
        <v>4.5808520384791571E-4</v>
      </c>
      <c r="R26" s="39">
        <f>1/1587</f>
        <v>6.3011972274732201E-4</v>
      </c>
      <c r="S26" s="25">
        <f>1/2562</f>
        <v>3.9032006245120999E-4</v>
      </c>
      <c r="T26" s="25">
        <f>1/885</f>
        <v>1.1299435028248588E-3</v>
      </c>
      <c r="U26" s="5"/>
      <c r="V26" s="6"/>
    </row>
    <row r="27" spans="1:22" x14ac:dyDescent="0.2">
      <c r="A27" s="20"/>
      <c r="B27">
        <v>19</v>
      </c>
      <c r="C27">
        <v>3.15</v>
      </c>
      <c r="D27">
        <v>1796.15</v>
      </c>
      <c r="E27" s="31">
        <v>1</v>
      </c>
      <c r="F27" s="28">
        <v>1.3123</v>
      </c>
      <c r="G27">
        <v>1.3791</v>
      </c>
      <c r="H27">
        <v>1.1383000000000001</v>
      </c>
      <c r="I27">
        <v>1.1707000000000001</v>
      </c>
      <c r="J27" s="28"/>
      <c r="K27" s="28">
        <v>1.01</v>
      </c>
      <c r="L27">
        <v>1.1000000000000001</v>
      </c>
      <c r="M27" s="28"/>
      <c r="O27" s="36">
        <v>1.9779999999999999E-2</v>
      </c>
      <c r="P27" s="26">
        <v>2.061E-2</v>
      </c>
      <c r="Q27" s="39">
        <f>1/2181</f>
        <v>4.5850527281063731E-4</v>
      </c>
      <c r="R27" s="39">
        <f>1/1625</f>
        <v>6.1538461538461541E-4</v>
      </c>
      <c r="S27" s="25">
        <f>1/2544</f>
        <v>3.9308176100628933E-4</v>
      </c>
      <c r="T27" s="25">
        <f>1/903</f>
        <v>1.1074197120708748E-3</v>
      </c>
      <c r="U27" s="5"/>
      <c r="V27" s="6"/>
    </row>
    <row r="28" spans="1:22" x14ac:dyDescent="0.2">
      <c r="A28" s="20"/>
      <c r="B28">
        <v>18</v>
      </c>
      <c r="C28">
        <v>3.15</v>
      </c>
      <c r="D28">
        <v>1796.15</v>
      </c>
      <c r="E28" s="31">
        <v>1</v>
      </c>
      <c r="F28" s="28">
        <v>1.3139000000000001</v>
      </c>
      <c r="G28">
        <v>1.3916999999999999</v>
      </c>
      <c r="H28">
        <v>1.1395999999999999</v>
      </c>
      <c r="I28">
        <v>1.1766000000000001</v>
      </c>
      <c r="J28" s="28"/>
      <c r="K28" s="28">
        <v>1.01</v>
      </c>
      <c r="L28">
        <v>1.01</v>
      </c>
      <c r="M28" s="28"/>
      <c r="O28" s="36">
        <v>1.933E-2</v>
      </c>
      <c r="P28" s="26">
        <v>2.0279999999999999E-2</v>
      </c>
      <c r="Q28" s="39">
        <f>1/2180</f>
        <v>4.5871559633027525E-4</v>
      </c>
      <c r="R28" s="39">
        <f>1/1668</f>
        <v>5.9952038369304552E-4</v>
      </c>
      <c r="S28" s="25">
        <f>1/2530</f>
        <v>3.9525691699604743E-4</v>
      </c>
      <c r="T28" s="25">
        <f>1/925</f>
        <v>1.0810810810810811E-3</v>
      </c>
      <c r="U28" s="5"/>
      <c r="V28" s="6"/>
    </row>
    <row r="29" spans="1:22" x14ac:dyDescent="0.2">
      <c r="A29" s="20"/>
      <c r="B29">
        <v>17</v>
      </c>
      <c r="C29">
        <v>3.15</v>
      </c>
      <c r="D29">
        <v>1796.15</v>
      </c>
      <c r="E29" s="31">
        <v>1</v>
      </c>
      <c r="F29" s="28">
        <v>1.3170999999999999</v>
      </c>
      <c r="G29">
        <v>1.4048</v>
      </c>
      <c r="H29">
        <v>1.1420999999999999</v>
      </c>
      <c r="I29">
        <v>1.1823999999999999</v>
      </c>
      <c r="J29" s="28"/>
      <c r="K29" s="28">
        <v>1.02</v>
      </c>
      <c r="L29">
        <v>0.92</v>
      </c>
      <c r="M29" s="28"/>
      <c r="O29" s="36">
        <v>1.8950000000000002E-2</v>
      </c>
      <c r="P29" s="26">
        <v>2.0039999999999999E-2</v>
      </c>
      <c r="Q29" s="39">
        <f>1/2182</f>
        <v>4.5829514207149406E-4</v>
      </c>
      <c r="R29" s="39">
        <f>1/1716</f>
        <v>5.8275058275058275E-4</v>
      </c>
      <c r="S29" s="25">
        <f>1/2522</f>
        <v>3.9651070578905631E-4</v>
      </c>
      <c r="T29" s="25">
        <f>1/949</f>
        <v>1.053740779768177E-3</v>
      </c>
      <c r="U29" s="5"/>
      <c r="V29" s="6"/>
    </row>
    <row r="30" spans="1:22" x14ac:dyDescent="0.2">
      <c r="A30" s="20"/>
      <c r="B30">
        <v>16</v>
      </c>
      <c r="C30">
        <v>3.15</v>
      </c>
      <c r="D30">
        <v>1796.15</v>
      </c>
      <c r="E30" s="31">
        <v>1.07</v>
      </c>
      <c r="F30" s="28">
        <v>1.3152999999999999</v>
      </c>
      <c r="G30">
        <v>1.4157</v>
      </c>
      <c r="H30">
        <v>1.1385000000000001</v>
      </c>
      <c r="I30">
        <v>1.1859</v>
      </c>
      <c r="J30" s="28"/>
      <c r="K30" s="28">
        <v>1.01</v>
      </c>
      <c r="L30">
        <v>1</v>
      </c>
      <c r="M30" s="28"/>
      <c r="O30" s="36">
        <v>1.8610000000000002E-2</v>
      </c>
      <c r="P30" s="26">
        <v>1.9869999999999999E-2</v>
      </c>
      <c r="Q30" s="39">
        <f>1/2175</f>
        <v>4.5977011494252872E-4</v>
      </c>
      <c r="R30" s="39">
        <f>1/1767</f>
        <v>5.6593095642331638E-4</v>
      </c>
      <c r="S30" s="25">
        <f>1/2499</f>
        <v>4.0016006402561027E-4</v>
      </c>
      <c r="T30" s="25">
        <f>1/976</f>
        <v>1.0245901639344263E-3</v>
      </c>
      <c r="U30" s="5"/>
      <c r="V30" s="6"/>
    </row>
    <row r="31" spans="1:22" x14ac:dyDescent="0.2">
      <c r="A31" s="20"/>
      <c r="B31">
        <v>15</v>
      </c>
      <c r="C31">
        <v>3</v>
      </c>
      <c r="D31">
        <v>1681.34</v>
      </c>
      <c r="E31" s="31">
        <v>0.94</v>
      </c>
      <c r="F31" s="28">
        <v>1.3754999999999999</v>
      </c>
      <c r="G31">
        <v>1.4942</v>
      </c>
      <c r="H31">
        <v>1.1355</v>
      </c>
      <c r="I31">
        <v>1.1879</v>
      </c>
      <c r="J31" s="28"/>
      <c r="K31" s="28">
        <v>0.99</v>
      </c>
      <c r="L31">
        <v>1.01</v>
      </c>
      <c r="M31" s="28"/>
      <c r="O31" s="36">
        <v>1.8319999999999999E-2</v>
      </c>
      <c r="P31" s="26">
        <v>1.9769999999999999E-2</v>
      </c>
      <c r="Q31" s="39">
        <f>1/2164</f>
        <v>4.621072088724584E-4</v>
      </c>
      <c r="R31" s="39">
        <f>1/1823</f>
        <v>5.4854635216675812E-4</v>
      </c>
      <c r="S31" s="25">
        <f>1/2472</f>
        <v>4.045307443365696E-4</v>
      </c>
      <c r="T31" s="25">
        <f>1/1006</f>
        <v>9.9403578528827028E-4</v>
      </c>
      <c r="U31" s="5"/>
      <c r="V31" s="6"/>
    </row>
    <row r="32" spans="1:22" x14ac:dyDescent="0.2">
      <c r="A32" s="20"/>
      <c r="B32">
        <v>14</v>
      </c>
      <c r="C32">
        <v>3.15</v>
      </c>
      <c r="D32">
        <v>1820.09</v>
      </c>
      <c r="E32" s="31">
        <v>1.08</v>
      </c>
      <c r="F32" s="28">
        <v>1.3328</v>
      </c>
      <c r="G32">
        <v>1.4345000000000001</v>
      </c>
      <c r="H32">
        <v>1.1781999999999999</v>
      </c>
      <c r="I32">
        <v>1.2162999999999999</v>
      </c>
      <c r="J32" s="28"/>
      <c r="K32" s="28">
        <v>1.07</v>
      </c>
      <c r="L32">
        <v>1.21</v>
      </c>
      <c r="M32" s="28"/>
      <c r="O32" s="36">
        <v>1.8069999999999999E-2</v>
      </c>
      <c r="P32" s="26">
        <v>1.9730000000000001E-2</v>
      </c>
      <c r="Q32" s="39">
        <f>1/2234</f>
        <v>4.4762757385854968E-4</v>
      </c>
      <c r="R32" s="39">
        <f>1/1922</f>
        <v>5.2029136316337154E-4</v>
      </c>
      <c r="S32" s="25">
        <f>1/2567</f>
        <v>3.8955979742890534E-4</v>
      </c>
      <c r="T32" s="25">
        <f>1/1060</f>
        <v>9.4339622641509435E-4</v>
      </c>
      <c r="U32" s="5"/>
      <c r="V32" s="6"/>
    </row>
    <row r="33" spans="1:22" x14ac:dyDescent="0.2">
      <c r="A33" s="20"/>
      <c r="B33">
        <v>13</v>
      </c>
      <c r="C33">
        <v>3.15</v>
      </c>
      <c r="D33">
        <v>1819.27</v>
      </c>
      <c r="E33" s="31">
        <v>1</v>
      </c>
      <c r="F33" s="28">
        <v>1.3402000000000001</v>
      </c>
      <c r="G33">
        <v>1.4450000000000001</v>
      </c>
      <c r="H33">
        <v>1.1567000000000001</v>
      </c>
      <c r="I33">
        <v>1.2045999999999999</v>
      </c>
      <c r="J33" s="28"/>
      <c r="K33" s="28">
        <v>1.02</v>
      </c>
      <c r="L33">
        <v>1</v>
      </c>
      <c r="M33" s="28"/>
      <c r="O33" s="36">
        <v>1.7860000000000001E-2</v>
      </c>
      <c r="P33" s="26">
        <v>1.9730000000000001E-2</v>
      </c>
      <c r="Q33" s="39">
        <f>1/2261</f>
        <v>4.4228217602830609E-4</v>
      </c>
      <c r="R33" s="39">
        <f>1/2004</f>
        <v>4.9900199600798399E-4</v>
      </c>
      <c r="S33" s="25">
        <f>1/2597</f>
        <v>3.850596842510589E-4</v>
      </c>
      <c r="T33" s="25">
        <f>1/1106</f>
        <v>9.0415913200723324E-4</v>
      </c>
      <c r="U33" s="5"/>
      <c r="V33" s="6"/>
    </row>
    <row r="34" spans="1:22" x14ac:dyDescent="0.2">
      <c r="A34" s="20"/>
      <c r="B34">
        <v>12</v>
      </c>
      <c r="C34">
        <v>3.15</v>
      </c>
      <c r="D34">
        <v>1819.27</v>
      </c>
      <c r="E34" s="31">
        <v>1</v>
      </c>
      <c r="F34" s="28">
        <v>1.3460000000000001</v>
      </c>
      <c r="G34">
        <v>1.4549000000000001</v>
      </c>
      <c r="H34">
        <v>1.1612</v>
      </c>
      <c r="I34">
        <v>1.2101</v>
      </c>
      <c r="J34" s="28"/>
      <c r="K34" s="28">
        <v>1.01</v>
      </c>
      <c r="L34">
        <v>1</v>
      </c>
      <c r="M34" s="28"/>
      <c r="O34" s="36">
        <v>1.7680000000000001E-2</v>
      </c>
      <c r="P34" s="26">
        <v>1.975E-2</v>
      </c>
      <c r="Q34" s="39">
        <f>1/2298</f>
        <v>4.351610095735422E-4</v>
      </c>
      <c r="R34" s="39">
        <f>1/2100</f>
        <v>4.7619047619047619E-4</v>
      </c>
      <c r="S34" s="25">
        <f>1/2641</f>
        <v>3.786444528587656E-4</v>
      </c>
      <c r="T34" s="25">
        <f>1/1160</f>
        <v>8.6206896551724137E-4</v>
      </c>
      <c r="U34" s="5"/>
      <c r="V34" s="6"/>
    </row>
    <row r="35" spans="1:22" x14ac:dyDescent="0.2">
      <c r="A35" s="20"/>
      <c r="B35">
        <v>11</v>
      </c>
      <c r="C35">
        <v>3.15</v>
      </c>
      <c r="D35">
        <v>1819.27</v>
      </c>
      <c r="E35" s="31">
        <v>1</v>
      </c>
      <c r="F35" s="28">
        <v>1.3667</v>
      </c>
      <c r="G35">
        <v>1.4846999999999999</v>
      </c>
      <c r="H35">
        <v>1.1646000000000001</v>
      </c>
      <c r="I35">
        <v>1.2163999999999999</v>
      </c>
      <c r="J35" s="28"/>
      <c r="K35" s="28">
        <v>1.01</v>
      </c>
      <c r="L35">
        <v>1</v>
      </c>
      <c r="M35" s="28"/>
      <c r="O35" s="36">
        <v>1.7510000000000001E-2</v>
      </c>
      <c r="P35" s="26">
        <v>1.9769999999999999E-2</v>
      </c>
      <c r="Q35" s="39">
        <f>1/2344</f>
        <v>4.2662116040955632E-4</v>
      </c>
      <c r="R35" s="39">
        <f>1/2214</f>
        <v>4.5167118337850043E-4</v>
      </c>
      <c r="S35" s="25">
        <f>1/2697</f>
        <v>3.707823507601038E-4</v>
      </c>
      <c r="T35" s="25">
        <f>1/1225</f>
        <v>8.1632653061224493E-4</v>
      </c>
      <c r="U35" s="5"/>
      <c r="V35" s="6"/>
    </row>
    <row r="36" spans="1:22" x14ac:dyDescent="0.2">
      <c r="A36" s="20"/>
      <c r="B36">
        <v>10</v>
      </c>
      <c r="C36">
        <v>3.15</v>
      </c>
      <c r="D36">
        <v>1819.27</v>
      </c>
      <c r="E36" s="31">
        <v>1</v>
      </c>
      <c r="F36" s="28">
        <v>1.3803000000000001</v>
      </c>
      <c r="G36">
        <v>1.4999</v>
      </c>
      <c r="H36">
        <v>1.1725000000000001</v>
      </c>
      <c r="I36">
        <v>1.2231000000000001</v>
      </c>
      <c r="J36" s="28"/>
      <c r="K36" s="28">
        <v>1.05</v>
      </c>
      <c r="L36">
        <v>0.97</v>
      </c>
      <c r="M36" s="28"/>
      <c r="O36" s="36">
        <v>1.738E-2</v>
      </c>
      <c r="P36" s="26">
        <v>1.9800000000000002E-2</v>
      </c>
      <c r="Q36" s="39">
        <f>1/2410</f>
        <v>4.1493775933609957E-4</v>
      </c>
      <c r="R36" s="39">
        <f>1/2350</f>
        <v>4.2553191489361702E-4</v>
      </c>
      <c r="S36" s="25">
        <f>1/2778</f>
        <v>3.5997120230381568E-4</v>
      </c>
      <c r="T36" s="25">
        <f>1/1304</f>
        <v>7.668711656441718E-4</v>
      </c>
      <c r="U36" s="5"/>
      <c r="V36" s="6"/>
    </row>
    <row r="37" spans="1:22" x14ac:dyDescent="0.2">
      <c r="A37" s="20"/>
      <c r="B37">
        <v>9</v>
      </c>
      <c r="C37">
        <v>3.15</v>
      </c>
      <c r="D37">
        <v>1819.27</v>
      </c>
      <c r="E37" s="31">
        <v>1</v>
      </c>
      <c r="F37" s="28">
        <v>1.3889</v>
      </c>
      <c r="G37">
        <v>1.5141</v>
      </c>
      <c r="H37">
        <v>1.1736</v>
      </c>
      <c r="I37">
        <v>1.2284999999999999</v>
      </c>
      <c r="J37" s="28"/>
      <c r="K37" s="28">
        <v>1.01</v>
      </c>
      <c r="L37">
        <v>1</v>
      </c>
      <c r="M37" s="28"/>
      <c r="O37" s="36">
        <v>1.7270000000000001E-2</v>
      </c>
      <c r="P37" s="26">
        <v>1.9810000000000001E-2</v>
      </c>
      <c r="Q37" s="39">
        <f>1/2483</f>
        <v>4.0273862263391061E-4</v>
      </c>
      <c r="R37" s="39">
        <f>1/2509</f>
        <v>3.9856516540454366E-4</v>
      </c>
      <c r="S37" s="25">
        <f>1/2868</f>
        <v>3.4867503486750347E-4</v>
      </c>
      <c r="T37" s="25">
        <f>1/1397</f>
        <v>7.158196134574087E-4</v>
      </c>
      <c r="U37" s="5"/>
      <c r="V37" s="6"/>
    </row>
    <row r="38" spans="1:22" x14ac:dyDescent="0.2">
      <c r="A38" s="20"/>
      <c r="B38">
        <v>8</v>
      </c>
      <c r="C38">
        <v>3.15</v>
      </c>
      <c r="D38">
        <v>1819.27</v>
      </c>
      <c r="E38" s="31">
        <v>1</v>
      </c>
      <c r="F38" s="28">
        <v>1.4016</v>
      </c>
      <c r="G38">
        <v>1.5331999999999999</v>
      </c>
      <c r="H38">
        <v>1.1811</v>
      </c>
      <c r="I38">
        <v>1.2384999999999999</v>
      </c>
      <c r="J38" s="28"/>
      <c r="K38" s="28">
        <v>1.01</v>
      </c>
      <c r="L38">
        <v>1</v>
      </c>
      <c r="M38" s="28"/>
      <c r="O38" s="36">
        <v>1.7160000000000002E-2</v>
      </c>
      <c r="P38" s="26">
        <v>1.9810000000000001E-2</v>
      </c>
      <c r="Q38" s="39">
        <f>1/2578</f>
        <v>3.8789759503491078E-4</v>
      </c>
      <c r="R38" s="39">
        <f>1/2707</f>
        <v>3.6941263391207979E-4</v>
      </c>
      <c r="S38" s="25">
        <f>1/2985</f>
        <v>3.3500837520938025E-4</v>
      </c>
      <c r="T38" s="25">
        <f>1/1514</f>
        <v>6.6050198150594452E-4</v>
      </c>
      <c r="U38" s="5"/>
      <c r="V38" s="6"/>
    </row>
    <row r="39" spans="1:22" x14ac:dyDescent="0.2">
      <c r="A39" s="20"/>
      <c r="B39">
        <v>7</v>
      </c>
      <c r="C39">
        <v>3.15</v>
      </c>
      <c r="D39">
        <v>1819.27</v>
      </c>
      <c r="E39" s="31">
        <v>1</v>
      </c>
      <c r="F39" s="28">
        <v>1.421</v>
      </c>
      <c r="G39">
        <v>1.5606</v>
      </c>
      <c r="H39">
        <v>1.1920999999999999</v>
      </c>
      <c r="I39">
        <v>1.2524999999999999</v>
      </c>
      <c r="J39" s="28"/>
      <c r="K39" s="28">
        <v>1</v>
      </c>
      <c r="L39">
        <v>1</v>
      </c>
      <c r="M39" s="28"/>
      <c r="O39" s="36">
        <v>1.703E-2</v>
      </c>
      <c r="P39" s="26">
        <v>1.9789999999999999E-2</v>
      </c>
      <c r="Q39" s="39">
        <f>1/2708</f>
        <v>3.6927621861152144E-4</v>
      </c>
      <c r="R39" s="39">
        <f>1/2960</f>
        <v>3.3783783783783786E-4</v>
      </c>
      <c r="S39" s="25">
        <f>1/3142</f>
        <v>3.1826861871419476E-4</v>
      </c>
      <c r="T39" s="25">
        <f>1/1664</f>
        <v>6.0096153846153849E-4</v>
      </c>
      <c r="U39" s="5"/>
      <c r="V39" s="6"/>
    </row>
    <row r="40" spans="1:22" x14ac:dyDescent="0.2">
      <c r="A40" s="20"/>
      <c r="B40">
        <v>6</v>
      </c>
      <c r="C40">
        <v>3.15</v>
      </c>
      <c r="D40">
        <v>1819.27</v>
      </c>
      <c r="E40" s="31">
        <v>1</v>
      </c>
      <c r="F40" s="28">
        <v>1.4533</v>
      </c>
      <c r="G40">
        <v>1.6012</v>
      </c>
      <c r="H40">
        <v>1.2095</v>
      </c>
      <c r="I40">
        <v>1.2729999999999999</v>
      </c>
      <c r="J40" s="28"/>
      <c r="K40" s="28">
        <v>1.01</v>
      </c>
      <c r="L40">
        <v>1</v>
      </c>
      <c r="M40" s="28"/>
      <c r="O40" s="36">
        <v>1.6910000000000001E-2</v>
      </c>
      <c r="P40" s="26">
        <v>1.9730000000000001E-2</v>
      </c>
      <c r="Q40" s="39">
        <f>1/2893</f>
        <v>3.4566194262011752E-4</v>
      </c>
      <c r="R40" s="39">
        <f>1/3297</f>
        <v>3.0330603579011223E-4</v>
      </c>
      <c r="S40" s="25">
        <f>1/3362</f>
        <v>2.9744199881023202E-4</v>
      </c>
      <c r="T40" s="25">
        <f>1/1864</f>
        <v>5.3648068669527897E-4</v>
      </c>
      <c r="U40" s="5"/>
      <c r="V40" s="6"/>
    </row>
    <row r="41" spans="1:22" x14ac:dyDescent="0.2">
      <c r="A41" s="20"/>
      <c r="B41">
        <v>5</v>
      </c>
      <c r="C41">
        <v>3.15</v>
      </c>
      <c r="D41">
        <v>1819.27</v>
      </c>
      <c r="E41" s="31">
        <v>1</v>
      </c>
      <c r="F41" s="28">
        <v>1.5055000000000001</v>
      </c>
      <c r="G41">
        <v>1.6645000000000001</v>
      </c>
      <c r="H41">
        <v>1.2378</v>
      </c>
      <c r="I41">
        <v>1.3056000000000001</v>
      </c>
      <c r="J41" s="28"/>
      <c r="K41" s="28">
        <v>1.04</v>
      </c>
      <c r="L41">
        <v>1.1000000000000001</v>
      </c>
      <c r="M41" s="28"/>
      <c r="O41" s="36">
        <v>1.6750000000000001E-2</v>
      </c>
      <c r="P41" s="26">
        <v>1.9630000000000002E-2</v>
      </c>
      <c r="Q41" s="39">
        <f>1/3170</f>
        <v>3.1545741324921138E-4</v>
      </c>
      <c r="R41" s="39">
        <f>1/3776</f>
        <v>2.6483050847457627E-4</v>
      </c>
      <c r="S41" s="25">
        <f>1/3690</f>
        <v>2.7100271002710027E-4</v>
      </c>
      <c r="T41" s="25">
        <f>1/2094</f>
        <v>4.7755491881566379E-4</v>
      </c>
      <c r="U41" s="5"/>
      <c r="V41" s="6"/>
    </row>
    <row r="42" spans="1:22" x14ac:dyDescent="0.2">
      <c r="A42" s="20"/>
      <c r="B42">
        <v>4</v>
      </c>
      <c r="C42">
        <v>3.15</v>
      </c>
      <c r="D42">
        <v>1819.27</v>
      </c>
      <c r="E42" s="31">
        <v>1</v>
      </c>
      <c r="F42" s="28">
        <v>1.6471</v>
      </c>
      <c r="G42">
        <v>1.7732000000000001</v>
      </c>
      <c r="H42">
        <v>1.3285</v>
      </c>
      <c r="I42">
        <v>1.3792</v>
      </c>
      <c r="J42" s="28"/>
      <c r="K42" s="28">
        <v>1.1100000000000001</v>
      </c>
      <c r="L42">
        <v>0.89</v>
      </c>
      <c r="M42" s="28"/>
      <c r="O42" s="36">
        <v>1.6559999999999998E-2</v>
      </c>
      <c r="P42" s="26">
        <v>1.9480000000000001E-2</v>
      </c>
      <c r="Q42" s="39">
        <f>1/3713</f>
        <v>2.6932399676811203E-4</v>
      </c>
      <c r="R42" s="39">
        <f>1/4579</f>
        <v>2.1838829438742082E-4</v>
      </c>
      <c r="S42" s="25">
        <f>1/4335</f>
        <v>2.306805074971165E-4</v>
      </c>
      <c r="T42" s="25">
        <f>1/2494</f>
        <v>4.0096230954290296E-4</v>
      </c>
      <c r="U42" s="5"/>
      <c r="V42" s="6"/>
    </row>
    <row r="43" spans="1:22" x14ac:dyDescent="0.2">
      <c r="A43" s="20"/>
      <c r="B43">
        <v>3</v>
      </c>
      <c r="C43">
        <v>6.45</v>
      </c>
      <c r="D43">
        <v>3090.35</v>
      </c>
      <c r="E43" s="31">
        <v>1.7</v>
      </c>
      <c r="F43" s="28">
        <v>1.0454000000000001</v>
      </c>
      <c r="G43">
        <v>1.0835999999999999</v>
      </c>
      <c r="H43">
        <v>1.665</v>
      </c>
      <c r="I43">
        <v>1.7257</v>
      </c>
      <c r="J43" s="28"/>
      <c r="K43" s="28">
        <v>1.1000000000000001</v>
      </c>
      <c r="L43">
        <v>1.2</v>
      </c>
      <c r="M43" s="28"/>
      <c r="O43" s="36">
        <v>1.6230000000000001E-2</v>
      </c>
      <c r="P43" s="26">
        <v>1.9230000000000001E-2</v>
      </c>
      <c r="Q43" s="39">
        <f>1/5242</f>
        <v>1.9076688286913393E-4</v>
      </c>
      <c r="R43" s="39">
        <f>1/6872</f>
        <v>1.4551804423748544E-4</v>
      </c>
      <c r="S43" s="25">
        <f>1/6107</f>
        <v>1.637465203864418E-4</v>
      </c>
      <c r="T43" s="25">
        <f>1/3887</f>
        <v>2.5726781579624391E-4</v>
      </c>
      <c r="U43" s="5"/>
      <c r="V43" s="6"/>
    </row>
    <row r="44" spans="1:22" x14ac:dyDescent="0.2">
      <c r="A44" s="20"/>
      <c r="B44">
        <v>2</v>
      </c>
      <c r="C44">
        <v>4.5999999999999996</v>
      </c>
      <c r="D44">
        <v>2798.82</v>
      </c>
      <c r="E44" s="31">
        <v>1.8</v>
      </c>
      <c r="F44" s="28">
        <v>6.7588999999999997</v>
      </c>
      <c r="G44">
        <v>3.6255999999999999</v>
      </c>
      <c r="H44">
        <v>5.0122</v>
      </c>
      <c r="I44">
        <v>2.5899000000000001</v>
      </c>
      <c r="J44" s="28"/>
      <c r="K44" s="28">
        <v>2.2000000000000002</v>
      </c>
      <c r="L44">
        <v>1.22</v>
      </c>
      <c r="M44" s="28"/>
      <c r="O44" s="36">
        <v>1.5299999999999999E-2</v>
      </c>
      <c r="P44" s="26">
        <v>1.839E-2</v>
      </c>
      <c r="Q44" s="39">
        <f>1/9999</f>
        <v>1.0001000100010001E-4</v>
      </c>
      <c r="R44" s="39">
        <f>1/9999</f>
        <v>1.0001000100010001E-4</v>
      </c>
      <c r="S44" s="25">
        <f>1/9999</f>
        <v>1.0001000100010001E-4</v>
      </c>
      <c r="T44" s="25">
        <f>1/7671</f>
        <v>1.3036110024768608E-4</v>
      </c>
      <c r="U44" s="5"/>
      <c r="V44" s="6"/>
    </row>
    <row r="45" spans="1:22" x14ac:dyDescent="0.2">
      <c r="A45" s="20"/>
      <c r="B45">
        <v>1</v>
      </c>
      <c r="C45">
        <v>3.7</v>
      </c>
      <c r="D45">
        <v>1550.94</v>
      </c>
      <c r="E45" s="31">
        <v>0.55000000000000004</v>
      </c>
      <c r="F45" s="28">
        <v>3.9687000000000001</v>
      </c>
      <c r="G45">
        <v>4.9446000000000003</v>
      </c>
      <c r="H45">
        <v>1.4897</v>
      </c>
      <c r="I45">
        <v>1.8560000000000001</v>
      </c>
      <c r="J45" s="28"/>
      <c r="K45" s="28">
        <v>1.1499999999999999</v>
      </c>
      <c r="L45">
        <v>1.1200000000000001</v>
      </c>
      <c r="M45" s="28"/>
      <c r="O45" s="36">
        <v>1.451E-2</v>
      </c>
      <c r="P45" s="26">
        <v>1.745E-2</v>
      </c>
      <c r="Q45" s="39">
        <f>1/9999</f>
        <v>1.0001000100010001E-4</v>
      </c>
      <c r="R45" s="39">
        <f>1/9999</f>
        <v>1.0001000100010001E-4</v>
      </c>
      <c r="S45" s="25">
        <f>1/9999</f>
        <v>1.0001000100010001E-4</v>
      </c>
      <c r="T45" s="25">
        <f>1/9999</f>
        <v>1.0001000100010001E-4</v>
      </c>
      <c r="U45" s="5"/>
      <c r="V45" s="6"/>
    </row>
    <row r="46" spans="1:22" x14ac:dyDescent="0.2">
      <c r="A46" s="20"/>
      <c r="C46" s="46">
        <f xml:space="preserve"> SUM($C$7:$C$45)</f>
        <v>129.20000000000005</v>
      </c>
      <c r="D46">
        <v>1305.83</v>
      </c>
      <c r="E46" s="31"/>
      <c r="F46" s="28">
        <v>1</v>
      </c>
      <c r="G46">
        <v>1</v>
      </c>
      <c r="H46">
        <v>1</v>
      </c>
      <c r="I46">
        <v>1</v>
      </c>
      <c r="J46" s="28"/>
      <c r="K46" s="28">
        <v>0.94</v>
      </c>
      <c r="L46">
        <v>0.89</v>
      </c>
      <c r="M46" s="28"/>
      <c r="O46" s="36">
        <v>1.451E-2</v>
      </c>
      <c r="P46" s="26">
        <v>1.745E-2</v>
      </c>
      <c r="Q46" s="39">
        <v>1.0001000100010001E-4</v>
      </c>
      <c r="R46" s="39">
        <v>1.0001000100010001E-4</v>
      </c>
      <c r="S46" s="25">
        <v>1.0001000100010001E-4</v>
      </c>
      <c r="T46" s="25">
        <v>1.0001000100010001E-4</v>
      </c>
      <c r="U46" s="5"/>
      <c r="V46" s="6"/>
    </row>
    <row r="47" spans="1:22" x14ac:dyDescent="0.2">
      <c r="A47" s="20"/>
      <c r="D47">
        <v>3090.35</v>
      </c>
      <c r="E47" s="31"/>
      <c r="F47" s="28">
        <v>6.7588999999999997</v>
      </c>
      <c r="G47">
        <v>5.2286000000000001</v>
      </c>
      <c r="H47">
        <v>5.0122</v>
      </c>
      <c r="I47">
        <v>3.0851000000000002</v>
      </c>
      <c r="J47" s="28"/>
      <c r="K47" s="28">
        <v>2.2000000000000002</v>
      </c>
      <c r="L47">
        <v>4.8499999999999996</v>
      </c>
      <c r="M47" s="28"/>
      <c r="O47" s="36">
        <v>8.4440000000000001E-2</v>
      </c>
      <c r="P47" s="26">
        <v>0.13319</v>
      </c>
      <c r="Q47" s="39">
        <v>4.621072088724584E-4</v>
      </c>
      <c r="R47" s="39">
        <v>7.3529411764705881E-4</v>
      </c>
      <c r="S47" s="25">
        <v>4.2122999157540015E-4</v>
      </c>
      <c r="T47" s="25">
        <v>1.3315579227696406E-3</v>
      </c>
      <c r="U47" s="5"/>
      <c r="V47" s="6"/>
    </row>
    <row r="48" spans="1:22" x14ac:dyDescent="0.2">
      <c r="A48" s="20"/>
      <c r="Q48" s="25"/>
      <c r="R48" s="25"/>
      <c r="S48" s="25"/>
      <c r="T48" s="25"/>
      <c r="U48" s="2"/>
      <c r="V48" s="6"/>
    </row>
    <row r="49" spans="1:22" x14ac:dyDescent="0.2">
      <c r="A49" s="20"/>
      <c r="Q49" s="25"/>
      <c r="R49" s="25"/>
      <c r="S49" s="25"/>
      <c r="T49" s="25"/>
      <c r="U49" s="2"/>
      <c r="V49" s="6"/>
    </row>
    <row r="50" spans="1:22" x14ac:dyDescent="0.2">
      <c r="A50" s="20"/>
      <c r="Q50" s="25"/>
      <c r="R50" s="25"/>
      <c r="S50" s="25"/>
      <c r="T50" s="25"/>
      <c r="U50" s="2"/>
      <c r="V50" s="6"/>
    </row>
    <row r="51" spans="1:22" x14ac:dyDescent="0.2">
      <c r="A51" s="20"/>
    </row>
    <row r="52" spans="1:22" x14ac:dyDescent="0.2">
      <c r="A52" s="20"/>
    </row>
    <row r="53" spans="1:22" x14ac:dyDescent="0.2">
      <c r="A53" s="20"/>
    </row>
    <row r="54" spans="1:22" x14ac:dyDescent="0.2">
      <c r="A54" s="20"/>
    </row>
    <row r="55" spans="1:22" x14ac:dyDescent="0.2">
      <c r="A55" s="20"/>
    </row>
    <row r="56" spans="1:22" x14ac:dyDescent="0.2">
      <c r="A56" s="20"/>
    </row>
    <row r="57" spans="1:22" x14ac:dyDescent="0.2">
      <c r="A57" s="20"/>
    </row>
    <row r="58" spans="1:22" x14ac:dyDescent="0.2">
      <c r="A58" s="20"/>
    </row>
    <row r="59" spans="1:22" x14ac:dyDescent="0.2">
      <c r="A59" s="20"/>
    </row>
    <row r="60" spans="1:22" x14ac:dyDescent="0.2">
      <c r="A60" s="20"/>
    </row>
    <row r="61" spans="1:22" x14ac:dyDescent="0.2">
      <c r="A61" s="20"/>
    </row>
    <row r="62" spans="1:22" x14ac:dyDescent="0.2">
      <c r="A62" s="20"/>
    </row>
    <row r="63" spans="1:22" x14ac:dyDescent="0.2">
      <c r="A63" s="20"/>
    </row>
    <row r="64" spans="1:22" x14ac:dyDescent="0.2">
      <c r="A64" s="20"/>
    </row>
    <row r="65" spans="1:1" x14ac:dyDescent="0.2">
      <c r="A65" s="20"/>
    </row>
    <row r="66" spans="1:1" x14ac:dyDescent="0.2">
      <c r="A66" s="20"/>
    </row>
    <row r="67" spans="1:1" x14ac:dyDescent="0.2">
      <c r="A67" s="20"/>
    </row>
    <row r="68" spans="1:1" x14ac:dyDescent="0.2">
      <c r="A68" s="20"/>
    </row>
    <row r="69" spans="1:1" x14ac:dyDescent="0.2">
      <c r="A69" s="20"/>
    </row>
    <row r="70" spans="1:1" x14ac:dyDescent="0.2">
      <c r="A70" s="20"/>
    </row>
    <row r="71" spans="1:1" x14ac:dyDescent="0.2">
      <c r="A71" s="20"/>
    </row>
    <row r="72" spans="1:1" x14ac:dyDescent="0.2">
      <c r="A72" s="20"/>
    </row>
    <row r="73" spans="1:1" x14ac:dyDescent="0.2">
      <c r="A73" s="20"/>
    </row>
    <row r="74" spans="1:1" x14ac:dyDescent="0.2">
      <c r="A74" s="20"/>
    </row>
    <row r="75" spans="1:1" x14ac:dyDescent="0.2">
      <c r="A75" s="20"/>
    </row>
    <row r="76" spans="1:1" x14ac:dyDescent="0.2">
      <c r="A76" s="20"/>
    </row>
    <row r="77" spans="1:1" x14ac:dyDescent="0.2">
      <c r="A77" s="20"/>
    </row>
    <row r="78" spans="1:1" x14ac:dyDescent="0.2">
      <c r="A78" s="20"/>
    </row>
    <row r="79" spans="1:1" x14ac:dyDescent="0.2">
      <c r="A79" s="20"/>
    </row>
    <row r="80" spans="1:1" x14ac:dyDescent="0.2">
      <c r="A80" s="20"/>
    </row>
    <row r="81" spans="1:1" x14ac:dyDescent="0.2">
      <c r="A81" s="20"/>
    </row>
    <row r="82" spans="1:1" x14ac:dyDescent="0.2">
      <c r="A82" s="20"/>
    </row>
    <row r="83" spans="1:1" x14ac:dyDescent="0.2">
      <c r="A83" s="20"/>
    </row>
    <row r="84" spans="1:1" x14ac:dyDescent="0.2">
      <c r="A84" s="20"/>
    </row>
    <row r="85" spans="1:1" x14ac:dyDescent="0.2">
      <c r="A85" s="20"/>
    </row>
    <row r="86" spans="1:1" x14ac:dyDescent="0.2">
      <c r="A86" s="20"/>
    </row>
    <row r="87" spans="1:1" x14ac:dyDescent="0.2">
      <c r="A87" s="20"/>
    </row>
    <row r="88" spans="1:1" x14ac:dyDescent="0.2">
      <c r="A88" s="20"/>
    </row>
    <row r="89" spans="1:1" x14ac:dyDescent="0.2">
      <c r="A89" s="20"/>
    </row>
    <row r="90" spans="1:1" x14ac:dyDescent="0.2">
      <c r="A90" s="20"/>
    </row>
    <row r="91" spans="1:1" x14ac:dyDescent="0.2">
      <c r="A91" s="20"/>
    </row>
    <row r="92" spans="1:1" x14ac:dyDescent="0.2">
      <c r="A92" s="20"/>
    </row>
    <row r="93" spans="1:1" x14ac:dyDescent="0.2">
      <c r="A93" s="20"/>
    </row>
    <row r="94" spans="1:1" x14ac:dyDescent="0.2">
      <c r="A94" s="20"/>
    </row>
    <row r="95" spans="1:1" x14ac:dyDescent="0.2">
      <c r="A95" s="20"/>
    </row>
    <row r="96" spans="1:1" x14ac:dyDescent="0.2">
      <c r="A96" s="20"/>
    </row>
    <row r="97" spans="1:1" x14ac:dyDescent="0.2">
      <c r="A97" s="20"/>
    </row>
    <row r="98" spans="1:1" x14ac:dyDescent="0.2">
      <c r="A98" s="20"/>
    </row>
    <row r="99" spans="1:1" x14ac:dyDescent="0.2">
      <c r="A99" s="20"/>
    </row>
    <row r="100" spans="1:1" x14ac:dyDescent="0.2">
      <c r="A100" s="20"/>
    </row>
  </sheetData>
  <protectedRanges>
    <protectedRange password="CE28" sqref="E1:V2" name="区域1"/>
  </protectedRanges>
  <customSheetViews>
    <customSheetView guid="{173361F4-9548-4F82-9CDA-4AC7CCF17BA4}" topLeftCell="A10">
      <pageMargins left="0.7" right="0.7" top="0.75" bottom="0.75" header="0.3" footer="0.3"/>
    </customSheetView>
  </customSheetViews>
  <mergeCells count="8">
    <mergeCell ref="A5:A26"/>
    <mergeCell ref="E1:V1"/>
    <mergeCell ref="U2:V2"/>
    <mergeCell ref="F2:I2"/>
    <mergeCell ref="K2:L2"/>
    <mergeCell ref="M2:N2"/>
    <mergeCell ref="O2:P2"/>
    <mergeCell ref="Q2:T2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3" name="Button 3">
              <controlPr defaultSize="0" print="0" autoFill="0" autoPict="0" macro="[0]!ThisWorkbook.bb">
                <anchor moveWithCells="1" sizeWithCells="1">
                  <from>
                    <xdr:col>0</xdr:col>
                    <xdr:colOff>57150</xdr:colOff>
                    <xdr:row>59</xdr:row>
                    <xdr:rowOff>0</xdr:rowOff>
                  </from>
                  <to>
                    <xdr:col>0</xdr:col>
                    <xdr:colOff>619125</xdr:colOff>
                    <xdr:row>60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53"/>
  <sheetViews>
    <sheetView topLeftCell="D1" workbookViewId="0">
      <selection activeCell="T14" sqref="T14"/>
    </sheetView>
  </sheetViews>
  <sheetFormatPr defaultRowHeight="14.25" x14ac:dyDescent="0.2"/>
  <cols>
    <col min="17" max="19" width="13.75" bestFit="1" customWidth="1"/>
    <col min="20" max="20" width="12.75" bestFit="1" customWidth="1"/>
  </cols>
  <sheetData>
    <row r="1" spans="1:23" s="2" customFormat="1" ht="41.25" customHeight="1" x14ac:dyDescent="0.2">
      <c r="A1" s="20"/>
      <c r="B1" s="15"/>
      <c r="C1" s="16"/>
      <c r="D1" s="16"/>
      <c r="E1" s="50" t="s">
        <v>13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s="7" customFormat="1" ht="24.75" customHeight="1" x14ac:dyDescent="0.2">
      <c r="A2" s="10"/>
      <c r="B2" s="22" t="s">
        <v>41</v>
      </c>
      <c r="C2" s="23"/>
      <c r="D2" s="24"/>
      <c r="E2" s="18" t="s">
        <v>10</v>
      </c>
      <c r="F2" s="52" t="s">
        <v>5</v>
      </c>
      <c r="G2" s="53"/>
      <c r="H2" s="53"/>
      <c r="I2" s="54"/>
      <c r="J2" s="17" t="s">
        <v>7</v>
      </c>
      <c r="K2" s="55" t="s">
        <v>6</v>
      </c>
      <c r="L2" s="55"/>
      <c r="M2" s="58" t="s">
        <v>4</v>
      </c>
      <c r="N2" s="58"/>
      <c r="O2" s="58" t="s">
        <v>8</v>
      </c>
      <c r="P2" s="58"/>
      <c r="Q2" s="60" t="s">
        <v>12</v>
      </c>
      <c r="R2" s="61"/>
      <c r="S2" s="61"/>
      <c r="T2" s="62"/>
      <c r="U2" s="58" t="s">
        <v>3</v>
      </c>
      <c r="V2" s="58"/>
      <c r="W2" s="19" t="s">
        <v>9</v>
      </c>
    </row>
    <row r="3" spans="1:23" x14ac:dyDescent="0.2">
      <c r="Q3" t="s">
        <v>50</v>
      </c>
    </row>
    <row r="6" spans="1:23" s="2" customFormat="1" x14ac:dyDescent="0.2">
      <c r="A6"/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42</v>
      </c>
      <c r="K6" t="s">
        <v>25</v>
      </c>
      <c r="L6" t="s">
        <v>26</v>
      </c>
      <c r="M6" t="s">
        <v>27</v>
      </c>
      <c r="N6" t="s">
        <v>28</v>
      </c>
      <c r="O6" t="s">
        <v>31</v>
      </c>
      <c r="P6" t="s">
        <v>32</v>
      </c>
      <c r="Q6" t="s">
        <v>33</v>
      </c>
      <c r="R6" t="s">
        <v>36</v>
      </c>
      <c r="S6" t="s">
        <v>34</v>
      </c>
      <c r="T6" t="s">
        <v>35</v>
      </c>
      <c r="U6" s="2" t="s">
        <v>43</v>
      </c>
      <c r="V6" s="6" t="s">
        <v>44</v>
      </c>
      <c r="W6"/>
    </row>
    <row r="7" spans="1:23" x14ac:dyDescent="0.2">
      <c r="B7" t="str">
        <f>IF(Sheet1!B7=temp!B7,"",Sheet1!B7-temp!B7)</f>
        <v/>
      </c>
      <c r="C7" t="str">
        <f>IF(Sheet1!C7=temp!C7,"",Sheet1!C7-temp!C7)</f>
        <v/>
      </c>
      <c r="D7" t="str">
        <f>IF(Sheet1!D7=temp!D7,"",Sheet1!D7-temp!D7)</f>
        <v/>
      </c>
      <c r="E7" t="str">
        <f>IF(Sheet1!E7=temp!E7,"",Sheet1!E7-temp!E7)</f>
        <v/>
      </c>
      <c r="F7" t="str">
        <f>IF(Sheet1!F7=temp!F7,"",Sheet1!F7-temp!F7)</f>
        <v/>
      </c>
      <c r="G7" t="str">
        <f>IF(Sheet1!G7=temp!G7,"",Sheet1!G7-temp!G7)</f>
        <v/>
      </c>
      <c r="H7" t="str">
        <f>IF(Sheet1!H7=temp!H7,"",Sheet1!H7-temp!H7)</f>
        <v/>
      </c>
      <c r="I7" t="str">
        <f>IF(Sheet1!I7=temp!I7,"",Sheet1!I7-temp!I7)</f>
        <v/>
      </c>
      <c r="J7" t="e">
        <f>IF(Sheet1!J7=temp!J7,"",Sheet1!J7-temp!J7)</f>
        <v>#VALUE!</v>
      </c>
      <c r="K7" t="str">
        <f>IF(Sheet1!K7=temp!K7,"",Sheet1!K7-temp!K7)</f>
        <v/>
      </c>
      <c r="L7" t="str">
        <f>IF(Sheet1!L7=temp!L7,"",Sheet1!L7-temp!L7)</f>
        <v/>
      </c>
      <c r="M7">
        <f>IF(Sheet1!M7=temp!M7,"",Sheet1!M7-temp!M7)</f>
        <v>-1.1499999999999844E-2</v>
      </c>
      <c r="N7" t="str">
        <f>IF(Sheet1!N7=temp!N7,"",Sheet1!N7-temp!N7)</f>
        <v/>
      </c>
      <c r="O7">
        <f>IF(Sheet1!O7=temp!O7,"",Sheet1!O7-temp!O7)</f>
        <v>-3.999999999999837E-5</v>
      </c>
      <c r="P7">
        <f>IF(Sheet1!P7=temp!P7,"",Sheet1!P7-temp!P7)</f>
        <v>-1.8999999999999573E-4</v>
      </c>
      <c r="Q7" s="47">
        <f>IF(Sheet1!Q7=temp!Q7,"",1/Sheet1!Q7-1/temp!Q7)</f>
        <v>-2</v>
      </c>
      <c r="R7" s="47">
        <f>IF(Sheet1!R7=temp!R7,"",1/Sheet1!R7-1/temp!R7)</f>
        <v>13</v>
      </c>
      <c r="S7" s="47" t="str">
        <f>IF(Sheet1!S7=temp!S7,"",1/Sheet1!S7-1/temp!S7)</f>
        <v/>
      </c>
      <c r="T7" s="47">
        <f>IF(Sheet1!T7=temp!T7,"",1/Sheet1!T7-1/temp!T7)</f>
        <v>9</v>
      </c>
      <c r="U7">
        <f>IF(Sheet1!U7=temp!U7,"",Sheet1!U7-temp!U7)</f>
        <v>1.0000000000000009E-2</v>
      </c>
      <c r="V7" t="str">
        <f>IF(Sheet1!V7=temp!V7,"",Sheet1!V7-temp!V7)</f>
        <v/>
      </c>
    </row>
    <row r="8" spans="1:23" x14ac:dyDescent="0.2">
      <c r="B8" t="str">
        <f>IF(Sheet1!B8=temp!B8,"",Sheet1!B8-temp!B8)</f>
        <v/>
      </c>
      <c r="C8" t="str">
        <f>IF(Sheet1!C8=temp!C8,"",Sheet1!C8-temp!C8)</f>
        <v/>
      </c>
      <c r="D8" t="str">
        <f>IF(Sheet1!D8=temp!D8,"",Sheet1!D8-temp!D8)</f>
        <v/>
      </c>
      <c r="E8" t="str">
        <f>IF(Sheet1!E8=temp!E8,"",Sheet1!E8-temp!E8)</f>
        <v/>
      </c>
      <c r="F8">
        <f>IF(Sheet1!F8=temp!F8,"",Sheet1!F8-temp!F8)</f>
        <v>-4.8700000000000188E-2</v>
      </c>
      <c r="G8">
        <f>IF(Sheet1!G8=temp!G8,"",Sheet1!G8-temp!G8)</f>
        <v>9.2999999999996419E-3</v>
      </c>
      <c r="H8">
        <f>IF(Sheet1!H8=temp!H8,"",Sheet1!H8-temp!H8)</f>
        <v>-2.8799999999999937E-2</v>
      </c>
      <c r="I8">
        <f>IF(Sheet1!I8=temp!I8,"",Sheet1!I8-temp!I8)</f>
        <v>5.4999999999996163E-3</v>
      </c>
      <c r="J8" t="str">
        <f>IF(Sheet1!J8=temp!J8,"",Sheet1!J8-temp!J8)</f>
        <v/>
      </c>
      <c r="K8" t="str">
        <f>IF(Sheet1!K8=temp!K8,"",Sheet1!K8-temp!K8)</f>
        <v/>
      </c>
      <c r="L8" t="str">
        <f>IF(Sheet1!L8=temp!L8,"",Sheet1!L8-temp!L8)</f>
        <v/>
      </c>
      <c r="M8">
        <f>IF(Sheet1!M8=temp!M8,"",Sheet1!M8-temp!M8)</f>
        <v>7.0000000000014495E-4</v>
      </c>
      <c r="N8" t="str">
        <f>IF(Sheet1!N8=temp!N8,"",Sheet1!N8-temp!N8)</f>
        <v/>
      </c>
      <c r="O8" t="str">
        <f>IF(Sheet1!O8=temp!O8,"",Sheet1!O8-temp!O8)</f>
        <v/>
      </c>
      <c r="P8">
        <f>IF(Sheet1!P8=temp!P8,"",Sheet1!P8-temp!P8)</f>
        <v>3.999999999999837E-5</v>
      </c>
      <c r="Q8" s="47">
        <f>IF(Sheet1!Q8=temp!Q8,"",1/Sheet1!Q8-1/temp!Q8)</f>
        <v>-2</v>
      </c>
      <c r="R8" s="47">
        <f>IF(Sheet1!R8=temp!R8,"",1/Sheet1!R8-1/temp!R8)</f>
        <v>13</v>
      </c>
      <c r="S8" s="47">
        <f>IF(Sheet1!S8=temp!S8,"",1/Sheet1!S8-1/temp!S8)</f>
        <v>-3.9999999999995453</v>
      </c>
      <c r="T8" s="47">
        <f>IF(Sheet1!T8=temp!T8,"",1/Sheet1!T8-1/temp!T8)</f>
        <v>10</v>
      </c>
      <c r="U8" t="str">
        <f>IF(Sheet1!U8=temp!U8,"",Sheet1!U8-temp!U8)</f>
        <v/>
      </c>
      <c r="V8">
        <f>IF(Sheet1!V8=temp!V8,"",Sheet1!V8-temp!V8)</f>
        <v>-1.0000000000000009E-2</v>
      </c>
    </row>
    <row r="9" spans="1:23" x14ac:dyDescent="0.2">
      <c r="B9" t="str">
        <f>IF(Sheet1!B9=temp!B9,"",Sheet1!B9-temp!B9)</f>
        <v/>
      </c>
      <c r="C9" t="str">
        <f>IF(Sheet1!C9=temp!C9,"",Sheet1!C9-temp!C9)</f>
        <v/>
      </c>
      <c r="D9">
        <f>IF(Sheet1!D9=temp!D9,"",Sheet1!D9-temp!D9)</f>
        <v>3.9400000000000546</v>
      </c>
      <c r="E9" t="str">
        <f>IF(Sheet1!E9=temp!E9,"",Sheet1!E9-temp!E9)</f>
        <v/>
      </c>
      <c r="F9">
        <f>IF(Sheet1!F9=temp!F9,"",Sheet1!F9-temp!F9)</f>
        <v>-1.3900000000000023E-2</v>
      </c>
      <c r="G9">
        <f>IF(Sheet1!G9=temp!G9,"",Sheet1!G9-temp!G9)</f>
        <v>1.5999999999998238E-3</v>
      </c>
      <c r="H9">
        <f>IF(Sheet1!H9=temp!H9,"",Sheet1!H9-temp!H9)</f>
        <v>-1.0399999999999965E-2</v>
      </c>
      <c r="I9">
        <f>IF(Sheet1!I9=temp!I9,"",Sheet1!I9-temp!I9)</f>
        <v>1.2000000000000899E-3</v>
      </c>
      <c r="J9" t="str">
        <f>IF(Sheet1!J9=temp!J9,"",Sheet1!J9-temp!J9)</f>
        <v/>
      </c>
      <c r="K9">
        <f>IF(Sheet1!K9=temp!K9,"",Sheet1!K9-temp!K9)</f>
        <v>3.0000000000000027E-2</v>
      </c>
      <c r="L9" t="str">
        <f>IF(Sheet1!L9=temp!L9,"",Sheet1!L9-temp!L9)</f>
        <v/>
      </c>
      <c r="M9">
        <f>IF(Sheet1!M9=temp!M9,"",Sheet1!M9-temp!M9)</f>
        <v>-1.5300000000000091E-2</v>
      </c>
      <c r="N9" t="str">
        <f>IF(Sheet1!N9=temp!N9,"",Sheet1!N9-temp!N9)</f>
        <v/>
      </c>
      <c r="O9">
        <f>IF(Sheet1!O9=temp!O9,"",Sheet1!O9-temp!O9)</f>
        <v>-1.2000000000000205E-4</v>
      </c>
      <c r="P9">
        <f>IF(Sheet1!P9=temp!P9,"",Sheet1!P9-temp!P9)</f>
        <v>3.0000000000002247E-5</v>
      </c>
      <c r="Q9" s="47">
        <f>IF(Sheet1!Q9=temp!Q9,"",1/Sheet1!Q9-1/temp!Q9)</f>
        <v>-11</v>
      </c>
      <c r="R9" s="47">
        <f>IF(Sheet1!R9=temp!R9,"",1/Sheet1!R9-1/temp!R9)</f>
        <v>13</v>
      </c>
      <c r="S9" s="47">
        <f>IF(Sheet1!S9=temp!S9,"",1/Sheet1!S9-1/temp!S9)</f>
        <v>-10</v>
      </c>
      <c r="T9" s="47">
        <f>IF(Sheet1!T9=temp!T9,"",1/Sheet1!T9-1/temp!T9)</f>
        <v>10</v>
      </c>
      <c r="U9" t="str">
        <f>IF(Sheet1!U9=temp!U9,"",Sheet1!U9-temp!U9)</f>
        <v/>
      </c>
      <c r="V9" t="str">
        <f>IF(Sheet1!V9=temp!V9,"",Sheet1!V9-temp!V9)</f>
        <v/>
      </c>
    </row>
    <row r="10" spans="1:23" x14ac:dyDescent="0.2">
      <c r="B10" t="str">
        <f>IF(Sheet1!B10=temp!B10,"",Sheet1!B10-temp!B10)</f>
        <v/>
      </c>
      <c r="C10" t="str">
        <f>IF(Sheet1!C10=temp!C10,"",Sheet1!C10-temp!C10)</f>
        <v/>
      </c>
      <c r="D10">
        <f>IF(Sheet1!D10=temp!D10,"",Sheet1!D10-temp!D10)</f>
        <v>3.9499999999998181</v>
      </c>
      <c r="E10" t="str">
        <f>IF(Sheet1!E10=temp!E10,"",Sheet1!E10-temp!E10)</f>
        <v/>
      </c>
      <c r="F10">
        <f>IF(Sheet1!F10=temp!F10,"",Sheet1!F10-temp!F10)</f>
        <v>-2.0000000000000018E-3</v>
      </c>
      <c r="G10">
        <f>IF(Sheet1!G10=temp!G10,"",Sheet1!G10-temp!G10)</f>
        <v>9.0000000000012292E-4</v>
      </c>
      <c r="H10">
        <f>IF(Sheet1!H10=temp!H10,"",Sheet1!H10-temp!H10)</f>
        <v>-1.5000000000000568E-3</v>
      </c>
      <c r="I10">
        <f>IF(Sheet1!I10=temp!I10,"",Sheet1!I10-temp!I10)</f>
        <v>5.9999999999993392E-4</v>
      </c>
      <c r="J10" t="str">
        <f>IF(Sheet1!J10=temp!J10,"",Sheet1!J10-temp!J10)</f>
        <v/>
      </c>
      <c r="K10" t="str">
        <f>IF(Sheet1!K10=temp!K10,"",Sheet1!K10-temp!K10)</f>
        <v/>
      </c>
      <c r="L10" t="str">
        <f>IF(Sheet1!L10=temp!L10,"",Sheet1!L10-temp!L10)</f>
        <v/>
      </c>
      <c r="M10">
        <f>IF(Sheet1!M10=temp!M10,"",Sheet1!M10-temp!M10)</f>
        <v>-1.1999999999999789E-3</v>
      </c>
      <c r="N10" t="str">
        <f>IF(Sheet1!N10=temp!N10,"",Sheet1!N10-temp!N10)</f>
        <v/>
      </c>
      <c r="O10">
        <f>IF(Sheet1!O10=temp!O10,"",Sheet1!O10-temp!O10)</f>
        <v>-1.6000000000000042E-4</v>
      </c>
      <c r="P10">
        <f>IF(Sheet1!P10=temp!P10,"",Sheet1!P10-temp!P10)</f>
        <v>3.999999999999837E-5</v>
      </c>
      <c r="Q10" s="47">
        <f>IF(Sheet1!Q10=temp!Q10,"",1/Sheet1!Q10-1/temp!Q10)</f>
        <v>-10</v>
      </c>
      <c r="R10" s="47">
        <f>IF(Sheet1!R10=temp!R10,"",1/Sheet1!R10-1/temp!R10)</f>
        <v>13</v>
      </c>
      <c r="S10" s="47">
        <f>IF(Sheet1!S10=temp!S10,"",1/Sheet1!S10-1/temp!S10)</f>
        <v>-10</v>
      </c>
      <c r="T10" s="47">
        <f>IF(Sheet1!T10=temp!T10,"",1/Sheet1!T10-1/temp!T10)</f>
        <v>10</v>
      </c>
      <c r="U10" t="str">
        <f>IF(Sheet1!U10=temp!U10,"",Sheet1!U10-temp!U10)</f>
        <v/>
      </c>
      <c r="V10" t="str">
        <f>IF(Sheet1!V10=temp!V10,"",Sheet1!V10-temp!V10)</f>
        <v/>
      </c>
    </row>
    <row r="11" spans="1:23" x14ac:dyDescent="0.2">
      <c r="B11" t="str">
        <f>IF(Sheet1!B11=temp!B11,"",Sheet1!B11-temp!B11)</f>
        <v/>
      </c>
      <c r="C11" t="str">
        <f>IF(Sheet1!C11=temp!C11,"",Sheet1!C11-temp!C11)</f>
        <v/>
      </c>
      <c r="D11">
        <f>IF(Sheet1!D11=temp!D11,"",Sheet1!D11-temp!D11)</f>
        <v>3.9499999999998181</v>
      </c>
      <c r="E11" t="str">
        <f>IF(Sheet1!E11=temp!E11,"",Sheet1!E11-temp!E11)</f>
        <v/>
      </c>
      <c r="F11">
        <f>IF(Sheet1!F11=temp!F11,"",Sheet1!F11-temp!F11)</f>
        <v>8.0000000000013394E-4</v>
      </c>
      <c r="G11">
        <f>IF(Sheet1!G11=temp!G11,"",Sheet1!G11-temp!G11)</f>
        <v>6.0000000000015596E-4</v>
      </c>
      <c r="H11">
        <f>IF(Sheet1!H11=temp!H11,"",Sheet1!H11-temp!H11)</f>
        <v>7.0000000000014495E-4</v>
      </c>
      <c r="I11">
        <f>IF(Sheet1!I11=temp!I11,"",Sheet1!I11-temp!I11)</f>
        <v>5.0000000000016698E-4</v>
      </c>
      <c r="J11" t="str">
        <f>IF(Sheet1!J11=temp!J11,"",Sheet1!J11-temp!J11)</f>
        <v/>
      </c>
      <c r="K11" t="str">
        <f>IF(Sheet1!K11=temp!K11,"",Sheet1!K11-temp!K11)</f>
        <v/>
      </c>
      <c r="L11" t="str">
        <f>IF(Sheet1!L11=temp!L11,"",Sheet1!L11-temp!L11)</f>
        <v/>
      </c>
      <c r="M11">
        <f>IF(Sheet1!M11=temp!M11,"",Sheet1!M11-temp!M11)</f>
        <v>-1.6999999999999238E-3</v>
      </c>
      <c r="N11" t="str">
        <f>IF(Sheet1!N11=temp!N11,"",Sheet1!N11-temp!N11)</f>
        <v/>
      </c>
      <c r="O11">
        <f>IF(Sheet1!O11=temp!O11,"",Sheet1!O11-temp!O11)</f>
        <v>-1.6000000000000042E-4</v>
      </c>
      <c r="P11">
        <f>IF(Sheet1!P11=temp!P11,"",Sheet1!P11-temp!P11)</f>
        <v>5.0000000000001432E-5</v>
      </c>
      <c r="Q11" s="47">
        <f>IF(Sheet1!Q11=temp!Q11,"",1/Sheet1!Q11-1/temp!Q11)</f>
        <v>-9</v>
      </c>
      <c r="R11" s="47">
        <f>IF(Sheet1!R11=temp!R11,"",1/Sheet1!R11-1/temp!R11)</f>
        <v>13</v>
      </c>
      <c r="S11" s="47">
        <f>IF(Sheet1!S11=temp!S11,"",1/Sheet1!S11-1/temp!S11)</f>
        <v>-9</v>
      </c>
      <c r="T11" s="47">
        <f>IF(Sheet1!T11=temp!T11,"",1/Sheet1!T11-1/temp!T11)</f>
        <v>10</v>
      </c>
      <c r="U11" t="str">
        <f>IF(Sheet1!U11=temp!U11,"",Sheet1!U11-temp!U11)</f>
        <v/>
      </c>
      <c r="V11" t="str">
        <f>IF(Sheet1!V11=temp!V11,"",Sheet1!V11-temp!V11)</f>
        <v/>
      </c>
    </row>
    <row r="12" spans="1:23" x14ac:dyDescent="0.2">
      <c r="B12" t="str">
        <f>IF(Sheet1!B12=temp!B12,"",Sheet1!B12-temp!B12)</f>
        <v/>
      </c>
      <c r="C12" t="str">
        <f>IF(Sheet1!C12=temp!C12,"",Sheet1!C12-temp!C12)</f>
        <v/>
      </c>
      <c r="D12">
        <f>IF(Sheet1!D12=temp!D12,"",Sheet1!D12-temp!D12)</f>
        <v>3.9499999999998181</v>
      </c>
      <c r="E12" t="str">
        <f>IF(Sheet1!E12=temp!E12,"",Sheet1!E12-temp!E12)</f>
        <v/>
      </c>
      <c r="F12">
        <f>IF(Sheet1!F12=temp!F12,"",Sheet1!F12-temp!F12)</f>
        <v>1.6000000000000458E-3</v>
      </c>
      <c r="G12">
        <f>IF(Sheet1!G12=temp!G12,"",Sheet1!G12-temp!G12)</f>
        <v>6.0000000000015596E-4</v>
      </c>
      <c r="H12">
        <f>IF(Sheet1!H12=temp!H12,"",Sheet1!H12-temp!H12)</f>
        <v>1.3000000000000789E-3</v>
      </c>
      <c r="I12">
        <f>IF(Sheet1!I12=temp!I12,"",Sheet1!I12-temp!I12)</f>
        <v>3.9999999999995595E-4</v>
      </c>
      <c r="J12" t="str">
        <f>IF(Sheet1!J12=temp!J12,"",Sheet1!J12-temp!J12)</f>
        <v/>
      </c>
      <c r="K12" t="str">
        <f>IF(Sheet1!K12=temp!K12,"",Sheet1!K12-temp!K12)</f>
        <v/>
      </c>
      <c r="L12" t="str">
        <f>IF(Sheet1!L12=temp!L12,"",Sheet1!L12-temp!L12)</f>
        <v/>
      </c>
      <c r="M12" t="str">
        <f>IF(Sheet1!M12=temp!M12,"",Sheet1!M12-temp!M12)</f>
        <v/>
      </c>
      <c r="N12">
        <f>IF(Sheet1!N12=temp!N12,"",Sheet1!N12-temp!N12)</f>
        <v>3.1999999999999806E-3</v>
      </c>
      <c r="O12">
        <f>IF(Sheet1!O12=temp!O12,"",Sheet1!O12-temp!O12)</f>
        <v>-1.4000000000000123E-4</v>
      </c>
      <c r="P12">
        <f>IF(Sheet1!P12=temp!P12,"",Sheet1!P12-temp!P12)</f>
        <v>5.9999999999997555E-5</v>
      </c>
      <c r="Q12" s="47">
        <f>IF(Sheet1!Q12=temp!Q12,"",1/Sheet1!Q12-1/temp!Q12)</f>
        <v>-8</v>
      </c>
      <c r="R12" s="47">
        <f>IF(Sheet1!R12=temp!R12,"",1/Sheet1!R12-1/temp!R12)</f>
        <v>12</v>
      </c>
      <c r="S12" s="47">
        <f>IF(Sheet1!S12=temp!S12,"",1/Sheet1!S12-1/temp!S12)</f>
        <v>-6.9999999999995453</v>
      </c>
      <c r="T12" s="47">
        <f>IF(Sheet1!T12=temp!T12,"",1/Sheet1!T12-1/temp!T12)</f>
        <v>10</v>
      </c>
      <c r="U12" t="str">
        <f>IF(Sheet1!U12=temp!U12,"",Sheet1!U12-temp!U12)</f>
        <v/>
      </c>
      <c r="V12" t="str">
        <f>IF(Sheet1!V12=temp!V12,"",Sheet1!V12-temp!V12)</f>
        <v/>
      </c>
    </row>
    <row r="13" spans="1:23" x14ac:dyDescent="0.2">
      <c r="B13" t="str">
        <f>IF(Sheet1!B13=temp!B13,"",Sheet1!B13-temp!B13)</f>
        <v/>
      </c>
      <c r="C13" t="str">
        <f>IF(Sheet1!C13=temp!C13,"",Sheet1!C13-temp!C13)</f>
        <v/>
      </c>
      <c r="D13">
        <f>IF(Sheet1!D13=temp!D13,"",Sheet1!D13-temp!D13)</f>
        <v>3.9499999999998181</v>
      </c>
      <c r="E13" t="str">
        <f>IF(Sheet1!E13=temp!E13,"",Sheet1!E13-temp!E13)</f>
        <v/>
      </c>
      <c r="F13">
        <f>IF(Sheet1!F13=temp!F13,"",Sheet1!F13-temp!F13)</f>
        <v>2.6999999999999247E-3</v>
      </c>
      <c r="G13">
        <f>IF(Sheet1!G13=temp!G13,"",Sheet1!G13-temp!G13)</f>
        <v>8.9999999999990088E-4</v>
      </c>
      <c r="H13">
        <f>IF(Sheet1!H13=temp!H13,"",Sheet1!H13-temp!H13)</f>
        <v>1.1999999999998678E-3</v>
      </c>
      <c r="I13">
        <f>IF(Sheet1!I13=temp!I13,"",Sheet1!I13-temp!I13)</f>
        <v>2.9999999999996696E-4</v>
      </c>
      <c r="J13" t="str">
        <f>IF(Sheet1!J13=temp!J13,"",Sheet1!J13-temp!J13)</f>
        <v/>
      </c>
      <c r="K13" t="str">
        <f>IF(Sheet1!K13=temp!K13,"",Sheet1!K13-temp!K13)</f>
        <v/>
      </c>
      <c r="L13" t="str">
        <f>IF(Sheet1!L13=temp!L13,"",Sheet1!L13-temp!L13)</f>
        <v/>
      </c>
      <c r="M13" t="str">
        <f>IF(Sheet1!M13=temp!M13,"",Sheet1!M13-temp!M13)</f>
        <v/>
      </c>
      <c r="N13">
        <f>IF(Sheet1!N13=temp!N13,"",Sheet1!N13-temp!N13)</f>
        <v>9.9999999999988987E-5</v>
      </c>
      <c r="O13">
        <f>IF(Sheet1!O13=temp!O13,"",Sheet1!O13-temp!O13)</f>
        <v>-1.4000000000000123E-4</v>
      </c>
      <c r="P13">
        <f>IF(Sheet1!P13=temp!P13,"",Sheet1!P13-temp!P13)</f>
        <v>7.0000000000000617E-5</v>
      </c>
      <c r="Q13" s="47">
        <f>IF(Sheet1!Q13=temp!Q13,"",1/Sheet1!Q13-1/temp!Q13)</f>
        <v>-6</v>
      </c>
      <c r="R13" s="47">
        <f>IF(Sheet1!R13=temp!R13,"",1/Sheet1!R13-1/temp!R13)</f>
        <v>13</v>
      </c>
      <c r="S13" s="47">
        <f>IF(Sheet1!S13=temp!S13,"",1/Sheet1!S13-1/temp!S13)</f>
        <v>-6</v>
      </c>
      <c r="T13" s="47">
        <f>IF(Sheet1!T13=temp!T13,"",1/Sheet1!T13-1/temp!T13)</f>
        <v>10</v>
      </c>
      <c r="U13" t="str">
        <f>IF(Sheet1!U13=temp!U13,"",Sheet1!U13-temp!U13)</f>
        <v/>
      </c>
      <c r="V13" t="str">
        <f>IF(Sheet1!V13=temp!V13,"",Sheet1!V13-temp!V13)</f>
        <v/>
      </c>
    </row>
    <row r="14" spans="1:23" x14ac:dyDescent="0.2">
      <c r="B14" t="str">
        <f>IF(Sheet1!B14=temp!B14,"",Sheet1!B14-temp!B14)</f>
        <v/>
      </c>
      <c r="C14" t="str">
        <f>IF(Sheet1!C14=temp!C14,"",Sheet1!C14-temp!C14)</f>
        <v/>
      </c>
      <c r="D14">
        <f>IF(Sheet1!D14=temp!D14,"",Sheet1!D14-temp!D14)</f>
        <v>3.9499999999998181</v>
      </c>
      <c r="E14" t="str">
        <f>IF(Sheet1!E14=temp!E14,"",Sheet1!E14-temp!E14)</f>
        <v/>
      </c>
      <c r="F14">
        <f>IF(Sheet1!F14=temp!F14,"",Sheet1!F14-temp!F14)</f>
        <v>2.5999999999999357E-3</v>
      </c>
      <c r="G14">
        <f>IF(Sheet1!G14=temp!G14,"",Sheet1!G14-temp!G14)</f>
        <v>4.9999999999994493E-4</v>
      </c>
      <c r="H14">
        <f>IF(Sheet1!H14=temp!H14,"",Sheet1!H14-temp!H14)</f>
        <v>1.1000000000001009E-3</v>
      </c>
      <c r="I14">
        <f>IF(Sheet1!I14=temp!I14,"",Sheet1!I14-temp!I14)</f>
        <v>1.9999999999997797E-4</v>
      </c>
      <c r="J14" t="str">
        <f>IF(Sheet1!J14=temp!J14,"",Sheet1!J14-temp!J14)</f>
        <v/>
      </c>
      <c r="K14" t="str">
        <f>IF(Sheet1!K14=temp!K14,"",Sheet1!K14-temp!K14)</f>
        <v/>
      </c>
      <c r="L14" t="str">
        <f>IF(Sheet1!L14=temp!L14,"",Sheet1!L14-temp!L14)</f>
        <v/>
      </c>
      <c r="M14" t="e">
        <f>IF(Sheet1!M14=temp!M14,"",Sheet1!M14-temp!M14)</f>
        <v>#VALUE!</v>
      </c>
      <c r="N14" t="str">
        <f>IF(Sheet1!N14=temp!N14,"",Sheet1!N14-temp!N14)</f>
        <v/>
      </c>
      <c r="O14">
        <f>IF(Sheet1!O14=temp!O14,"",Sheet1!O14-temp!O14)</f>
        <v>-1.2999999999999817E-4</v>
      </c>
      <c r="P14">
        <f>IF(Sheet1!P14=temp!P14,"",Sheet1!P14-temp!P14)</f>
        <v>7.0000000000000617E-5</v>
      </c>
      <c r="Q14" s="47">
        <f>IF(Sheet1!Q14=temp!Q14,"",1/Sheet1!Q14-1/temp!Q14)</f>
        <v>-5</v>
      </c>
      <c r="R14" s="47">
        <f>IF(Sheet1!R14=temp!R14,"",1/Sheet1!R14-1/temp!R14)</f>
        <v>12</v>
      </c>
      <c r="S14" s="47">
        <f>IF(Sheet1!S14=temp!S14,"",1/Sheet1!S14-1/temp!S14)</f>
        <v>-5</v>
      </c>
      <c r="T14" s="47">
        <f>IF(Sheet1!T14=temp!T14,"",1/Sheet1!T14-1/temp!T14)</f>
        <v>10</v>
      </c>
      <c r="U14" t="str">
        <f>IF(Sheet1!U14=temp!U14,"",Sheet1!U14-temp!U14)</f>
        <v/>
      </c>
      <c r="V14" t="str">
        <f>IF(Sheet1!V14=temp!V14,"",Sheet1!V14-temp!V14)</f>
        <v/>
      </c>
    </row>
    <row r="15" spans="1:23" x14ac:dyDescent="0.2">
      <c r="B15" t="str">
        <f>IF(Sheet1!B15=temp!B15,"",Sheet1!B15-temp!B15)</f>
        <v/>
      </c>
      <c r="C15" t="str">
        <f>IF(Sheet1!C15=temp!C15,"",Sheet1!C15-temp!C15)</f>
        <v/>
      </c>
      <c r="D15">
        <f>IF(Sheet1!D15=temp!D15,"",Sheet1!D15-temp!D15)</f>
        <v>3.9499999999998181</v>
      </c>
      <c r="E15" t="str">
        <f>IF(Sheet1!E15=temp!E15,"",Sheet1!E15-temp!E15)</f>
        <v/>
      </c>
      <c r="F15">
        <f>IF(Sheet1!F15=temp!F15,"",Sheet1!F15-temp!F15)</f>
        <v>2.8999999999999027E-3</v>
      </c>
      <c r="G15">
        <f>IF(Sheet1!G15=temp!G15,"",Sheet1!G15-temp!G15)</f>
        <v>1.9999999999997797E-4</v>
      </c>
      <c r="H15">
        <f>IF(Sheet1!H15=temp!H15,"",Sheet1!H15-temp!H15)</f>
        <v>1.2999999999998568E-3</v>
      </c>
      <c r="I15" t="str">
        <f>IF(Sheet1!I15=temp!I15,"",Sheet1!I15-temp!I15)</f>
        <v/>
      </c>
      <c r="J15" t="str">
        <f>IF(Sheet1!J15=temp!J15,"",Sheet1!J15-temp!J15)</f>
        <v/>
      </c>
      <c r="K15">
        <f>IF(Sheet1!K15=temp!K15,"",Sheet1!K15-temp!K15)</f>
        <v>-1.0000000000000009E-2</v>
      </c>
      <c r="L15" t="str">
        <f>IF(Sheet1!L15=temp!L15,"",Sheet1!L15-temp!L15)</f>
        <v/>
      </c>
      <c r="M15" t="str">
        <f>IF(Sheet1!M15=temp!M15,"",Sheet1!M15-temp!M15)</f>
        <v/>
      </c>
      <c r="N15" t="str">
        <f>IF(Sheet1!N15=temp!N15,"",Sheet1!N15-temp!N15)</f>
        <v/>
      </c>
      <c r="O15">
        <f>IF(Sheet1!O15=temp!O15,"",Sheet1!O15-temp!O15)</f>
        <v>-1.0999999999999899E-4</v>
      </c>
      <c r="P15">
        <f>IF(Sheet1!P15=temp!P15,"",Sheet1!P15-temp!P15)</f>
        <v>7.0000000000000617E-5</v>
      </c>
      <c r="Q15" s="47">
        <f>IF(Sheet1!Q15=temp!Q15,"",1/Sheet1!Q15-1/temp!Q15)</f>
        <v>-4</v>
      </c>
      <c r="R15" s="47">
        <f>IF(Sheet1!R15=temp!R15,"",1/Sheet1!R15-1/temp!R15)</f>
        <v>11</v>
      </c>
      <c r="S15" s="47">
        <f>IF(Sheet1!S15=temp!S15,"",1/Sheet1!S15-1/temp!S15)</f>
        <v>-4</v>
      </c>
      <c r="T15" s="47">
        <f>IF(Sheet1!T15=temp!T15,"",1/Sheet1!T15-1/temp!T15)</f>
        <v>10.000000000000114</v>
      </c>
      <c r="U15" t="str">
        <f>IF(Sheet1!U15=temp!U15,"",Sheet1!U15-temp!U15)</f>
        <v/>
      </c>
      <c r="V15" t="str">
        <f>IF(Sheet1!V15=temp!V15,"",Sheet1!V15-temp!V15)</f>
        <v/>
      </c>
    </row>
    <row r="16" spans="1:23" x14ac:dyDescent="0.2">
      <c r="B16" t="str">
        <f>IF(Sheet1!B16=temp!B16,"",Sheet1!B16-temp!B16)</f>
        <v/>
      </c>
      <c r="C16" t="str">
        <f>IF(Sheet1!C16=temp!C16,"",Sheet1!C16-temp!C16)</f>
        <v/>
      </c>
      <c r="D16">
        <f>IF(Sheet1!D16=temp!D16,"",Sheet1!D16-temp!D16)</f>
        <v>1.8400000000001455</v>
      </c>
      <c r="E16" t="str">
        <f>IF(Sheet1!E16=temp!E16,"",Sheet1!E16-temp!E16)</f>
        <v/>
      </c>
      <c r="F16">
        <f>IF(Sheet1!F16=temp!F16,"",Sheet1!F16-temp!F16)</f>
        <v>2.6000000000001577E-3</v>
      </c>
      <c r="G16">
        <f>IF(Sheet1!G16=temp!G16,"",Sheet1!G16-temp!G16)</f>
        <v>9.9999999999988987E-5</v>
      </c>
      <c r="H16">
        <f>IF(Sheet1!H16=temp!H16,"",Sheet1!H16-temp!H16)</f>
        <v>7.9999999999991189E-4</v>
      </c>
      <c r="I16" t="str">
        <f>IF(Sheet1!I16=temp!I16,"",Sheet1!I16-temp!I16)</f>
        <v/>
      </c>
      <c r="J16" t="str">
        <f>IF(Sheet1!J16=temp!J16,"",Sheet1!J16-temp!J16)</f>
        <v/>
      </c>
      <c r="K16">
        <f>IF(Sheet1!K16=temp!K16,"",Sheet1!K16-temp!K16)</f>
        <v>1.0000000000000009E-2</v>
      </c>
      <c r="L16">
        <f>IF(Sheet1!L16=temp!L16,"",Sheet1!L16-temp!L16)</f>
        <v>-1.0000000000000009E-2</v>
      </c>
      <c r="M16" t="str">
        <f>IF(Sheet1!M16=temp!M16,"",Sheet1!M16-temp!M16)</f>
        <v/>
      </c>
      <c r="N16" t="str">
        <f>IF(Sheet1!N16=temp!N16,"",Sheet1!N16-temp!N16)</f>
        <v/>
      </c>
      <c r="O16">
        <f>IF(Sheet1!O16=temp!O16,"",Sheet1!O16-temp!O16)</f>
        <v>-8.000000000000021E-5</v>
      </c>
      <c r="P16">
        <f>IF(Sheet1!P16=temp!P16,"",Sheet1!P16-temp!P16)</f>
        <v>7.0000000000000617E-5</v>
      </c>
      <c r="Q16" s="47">
        <f>IF(Sheet1!Q16=temp!Q16,"",1/Sheet1!Q16-1/temp!Q16)</f>
        <v>-3</v>
      </c>
      <c r="R16" s="47">
        <f>IF(Sheet1!R16=temp!R16,"",1/Sheet1!R16-1/temp!R16)</f>
        <v>11</v>
      </c>
      <c r="S16" s="47">
        <f>IF(Sheet1!S16=temp!S16,"",1/Sheet1!S16-1/temp!S16)</f>
        <v>-3</v>
      </c>
      <c r="T16" s="47">
        <f>IF(Sheet1!T16=temp!T16,"",1/Sheet1!T16-1/temp!T16)</f>
        <v>9</v>
      </c>
      <c r="U16" t="str">
        <f>IF(Sheet1!U16=temp!U16,"",Sheet1!U16-temp!U16)</f>
        <v/>
      </c>
      <c r="V16" t="str">
        <f>IF(Sheet1!V16=temp!V16,"",Sheet1!V16-temp!V16)</f>
        <v/>
      </c>
    </row>
    <row r="17" spans="2:22" x14ac:dyDescent="0.2">
      <c r="B17" t="str">
        <f>IF(Sheet1!B17=temp!B17,"",Sheet1!B17-temp!B17)</f>
        <v/>
      </c>
      <c r="C17" t="str">
        <f>IF(Sheet1!C17=temp!C17,"",Sheet1!C17-temp!C17)</f>
        <v/>
      </c>
      <c r="D17">
        <f>IF(Sheet1!D17=temp!D17,"",Sheet1!D17-temp!D17)</f>
        <v>3.9400000000000546</v>
      </c>
      <c r="E17" t="str">
        <f>IF(Sheet1!E17=temp!E17,"",Sheet1!E17-temp!E17)</f>
        <v/>
      </c>
      <c r="F17">
        <f>IF(Sheet1!F17=temp!F17,"",Sheet1!F17-temp!F17)</f>
        <v>1.8000000000000238E-3</v>
      </c>
      <c r="G17">
        <f>IF(Sheet1!G17=temp!G17,"",Sheet1!G17-temp!G17)</f>
        <v>2.9999999999996696E-4</v>
      </c>
      <c r="H17">
        <f>IF(Sheet1!H17=temp!H17,"",Sheet1!H17-temp!H17)</f>
        <v>5.0000000000016698E-4</v>
      </c>
      <c r="I17">
        <f>IF(Sheet1!I17=temp!I17,"",Sheet1!I17-temp!I17)</f>
        <v>1.9999999999997797E-4</v>
      </c>
      <c r="J17" t="str">
        <f>IF(Sheet1!J17=temp!J17,"",Sheet1!J17-temp!J17)</f>
        <v/>
      </c>
      <c r="K17" t="str">
        <f>IF(Sheet1!K17=temp!K17,"",Sheet1!K17-temp!K17)</f>
        <v/>
      </c>
      <c r="L17" t="str">
        <f>IF(Sheet1!L17=temp!L17,"",Sheet1!L17-temp!L17)</f>
        <v/>
      </c>
      <c r="M17" t="str">
        <f>IF(Sheet1!M17=temp!M17,"",Sheet1!M17-temp!M17)</f>
        <v/>
      </c>
      <c r="N17" t="str">
        <f>IF(Sheet1!N17=temp!N17,"",Sheet1!N17-temp!N17)</f>
        <v/>
      </c>
      <c r="O17">
        <f>IF(Sheet1!O17=temp!O17,"",Sheet1!O17-temp!O17)</f>
        <v>-6.0000000000001025E-5</v>
      </c>
      <c r="P17">
        <f>IF(Sheet1!P17=temp!P17,"",Sheet1!P17-temp!P17)</f>
        <v>7.0000000000000617E-5</v>
      </c>
      <c r="Q17" s="47">
        <f>IF(Sheet1!Q17=temp!Q17,"",1/Sheet1!Q17-1/temp!Q17)</f>
        <v>-3</v>
      </c>
      <c r="R17" s="47">
        <f>IF(Sheet1!R17=temp!R17,"",1/Sheet1!R17-1/temp!R17)</f>
        <v>12</v>
      </c>
      <c r="S17" s="47">
        <f>IF(Sheet1!S17=temp!S17,"",1/Sheet1!S17-1/temp!S17)</f>
        <v>-4</v>
      </c>
      <c r="T17" s="47">
        <f>IF(Sheet1!T17=temp!T17,"",1/Sheet1!T17-1/temp!T17)</f>
        <v>10</v>
      </c>
      <c r="U17" t="str">
        <f>IF(Sheet1!U17=temp!U17,"",Sheet1!U17-temp!U17)</f>
        <v/>
      </c>
      <c r="V17" t="str">
        <f>IF(Sheet1!V17=temp!V17,"",Sheet1!V17-temp!V17)</f>
        <v/>
      </c>
    </row>
    <row r="18" spans="2:22" x14ac:dyDescent="0.2">
      <c r="B18" t="str">
        <f>IF(Sheet1!B18=temp!B18,"",Sheet1!B18-temp!B18)</f>
        <v/>
      </c>
      <c r="C18" t="str">
        <f>IF(Sheet1!C18=temp!C18,"",Sheet1!C18-temp!C18)</f>
        <v/>
      </c>
      <c r="D18">
        <f>IF(Sheet1!D18=temp!D18,"",Sheet1!D18-temp!D18)</f>
        <v>3.9499999999998181</v>
      </c>
      <c r="E18" t="str">
        <f>IF(Sheet1!E18=temp!E18,"",Sheet1!E18-temp!E18)</f>
        <v/>
      </c>
      <c r="F18">
        <f>IF(Sheet1!F18=temp!F18,"",Sheet1!F18-temp!F18)</f>
        <v>1.3999999999998458E-3</v>
      </c>
      <c r="G18" t="str">
        <f>IF(Sheet1!G18=temp!G18,"",Sheet1!G18-temp!G18)</f>
        <v/>
      </c>
      <c r="H18">
        <f>IF(Sheet1!H18=temp!H18,"",Sheet1!H18-temp!H18)</f>
        <v>4.9999999999994493E-4</v>
      </c>
      <c r="I18">
        <f>IF(Sheet1!I18=temp!I18,"",Sheet1!I18-temp!I18)</f>
        <v>-1.9999999999997797E-4</v>
      </c>
      <c r="J18" t="str">
        <f>IF(Sheet1!J18=temp!J18,"",Sheet1!J18-temp!J18)</f>
        <v/>
      </c>
      <c r="K18" t="str">
        <f>IF(Sheet1!K18=temp!K18,"",Sheet1!K18-temp!K18)</f>
        <v/>
      </c>
      <c r="L18">
        <f>IF(Sheet1!L18=temp!L18,"",Sheet1!L18-temp!L18)</f>
        <v>-1.0000000000000009E-2</v>
      </c>
      <c r="M18" t="str">
        <f>IF(Sheet1!M18=temp!M18,"",Sheet1!M18-temp!M18)</f>
        <v/>
      </c>
      <c r="N18" t="str">
        <f>IF(Sheet1!N18=temp!N18,"",Sheet1!N18-temp!N18)</f>
        <v/>
      </c>
      <c r="O18">
        <f>IF(Sheet1!O18=temp!O18,"",Sheet1!O18-temp!O18)</f>
        <v>-5.0000000000001432E-5</v>
      </c>
      <c r="P18">
        <f>IF(Sheet1!P18=temp!P18,"",Sheet1!P18-temp!P18)</f>
        <v>6.0000000000001025E-5</v>
      </c>
      <c r="Q18" s="47">
        <f>IF(Sheet1!Q18=temp!Q18,"",1/Sheet1!Q18-1/temp!Q18)</f>
        <v>-3</v>
      </c>
      <c r="R18" s="47">
        <f>IF(Sheet1!R18=temp!R18,"",1/Sheet1!R18-1/temp!R18)</f>
        <v>12</v>
      </c>
      <c r="S18" s="47">
        <f>IF(Sheet1!S18=temp!S18,"",1/Sheet1!S18-1/temp!S18)</f>
        <v>-3</v>
      </c>
      <c r="T18" s="47">
        <f>IF(Sheet1!T18=temp!T18,"",1/Sheet1!T18-1/temp!T18)</f>
        <v>10.000000000000114</v>
      </c>
      <c r="U18" t="str">
        <f>IF(Sheet1!U18=temp!U18,"",Sheet1!U18-temp!U18)</f>
        <v/>
      </c>
      <c r="V18" t="str">
        <f>IF(Sheet1!V18=temp!V18,"",Sheet1!V18-temp!V18)</f>
        <v/>
      </c>
    </row>
    <row r="19" spans="2:22" x14ac:dyDescent="0.2">
      <c r="B19" t="str">
        <f>IF(Sheet1!B19=temp!B19,"",Sheet1!B19-temp!B19)</f>
        <v/>
      </c>
      <c r="C19" t="str">
        <f>IF(Sheet1!C19=temp!C19,"",Sheet1!C19-temp!C19)</f>
        <v/>
      </c>
      <c r="D19">
        <f>IF(Sheet1!D19=temp!D19,"",Sheet1!D19-temp!D19)</f>
        <v>3.9499999999998181</v>
      </c>
      <c r="E19" t="str">
        <f>IF(Sheet1!E19=temp!E19,"",Sheet1!E19-temp!E19)</f>
        <v/>
      </c>
      <c r="F19">
        <f>IF(Sheet1!F19=temp!F19,"",Sheet1!F19-temp!F19)</f>
        <v>1.1999999999998678E-3</v>
      </c>
      <c r="G19">
        <f>IF(Sheet1!G19=temp!G19,"",Sheet1!G19-temp!G19)</f>
        <v>-1.9999999999997797E-4</v>
      </c>
      <c r="H19">
        <f>IF(Sheet1!H19=temp!H19,"",Sheet1!H19-temp!H19)</f>
        <v>3.9999999999995595E-4</v>
      </c>
      <c r="I19">
        <f>IF(Sheet1!I19=temp!I19,"",Sheet1!I19-temp!I19)</f>
        <v>-1.9999999999997797E-4</v>
      </c>
      <c r="J19" t="str">
        <f>IF(Sheet1!J19=temp!J19,"",Sheet1!J19-temp!J19)</f>
        <v/>
      </c>
      <c r="K19" t="str">
        <f>IF(Sheet1!K19=temp!K19,"",Sheet1!K19-temp!K19)</f>
        <v/>
      </c>
      <c r="L19" t="str">
        <f>IF(Sheet1!L19=temp!L19,"",Sheet1!L19-temp!L19)</f>
        <v/>
      </c>
      <c r="M19" t="str">
        <f>IF(Sheet1!M19=temp!M19,"",Sheet1!M19-temp!M19)</f>
        <v/>
      </c>
      <c r="N19" t="str">
        <f>IF(Sheet1!N19=temp!N19,"",Sheet1!N19-temp!N19)</f>
        <v/>
      </c>
      <c r="O19">
        <f>IF(Sheet1!O19=temp!O19,"",Sheet1!O19-temp!O19)</f>
        <v>-2.9999999999998778E-5</v>
      </c>
      <c r="P19">
        <f>IF(Sheet1!P19=temp!P19,"",Sheet1!P19-temp!P19)</f>
        <v>4.9999999999997963E-5</v>
      </c>
      <c r="Q19" s="47">
        <f>IF(Sheet1!Q19=temp!Q19,"",1/Sheet1!Q19-1/temp!Q19)</f>
        <v>-3</v>
      </c>
      <c r="R19" s="47">
        <f>IF(Sheet1!R19=temp!R19,"",1/Sheet1!R19-1/temp!R19)</f>
        <v>11</v>
      </c>
      <c r="S19" s="47">
        <f>IF(Sheet1!S19=temp!S19,"",1/Sheet1!S19-1/temp!S19)</f>
        <v>-4</v>
      </c>
      <c r="T19" s="47">
        <f>IF(Sheet1!T19=temp!T19,"",1/Sheet1!T19-1/temp!T19)</f>
        <v>9</v>
      </c>
      <c r="U19" t="str">
        <f>IF(Sheet1!U19=temp!U19,"",Sheet1!U19-temp!U19)</f>
        <v/>
      </c>
      <c r="V19" t="str">
        <f>IF(Sheet1!V19=temp!V19,"",Sheet1!V19-temp!V19)</f>
        <v/>
      </c>
    </row>
    <row r="20" spans="2:22" x14ac:dyDescent="0.2">
      <c r="B20" t="str">
        <f>IF(Sheet1!B20=temp!B20,"",Sheet1!B20-temp!B20)</f>
        <v/>
      </c>
      <c r="C20" t="str">
        <f>IF(Sheet1!C20=temp!C20,"",Sheet1!C20-temp!C20)</f>
        <v/>
      </c>
      <c r="D20">
        <f>IF(Sheet1!D20=temp!D20,"",Sheet1!D20-temp!D20)</f>
        <v>3.9499999999998181</v>
      </c>
      <c r="E20" t="str">
        <f>IF(Sheet1!E20=temp!E20,"",Sheet1!E20-temp!E20)</f>
        <v/>
      </c>
      <c r="F20">
        <f>IF(Sheet1!F20=temp!F20,"",Sheet1!F20-temp!F20)</f>
        <v>9.9999999999988987E-4</v>
      </c>
      <c r="G20">
        <f>IF(Sheet1!G20=temp!G20,"",Sheet1!G20-temp!G20)</f>
        <v>-5.0000000000016698E-4</v>
      </c>
      <c r="H20">
        <f>IF(Sheet1!H20=temp!H20,"",Sheet1!H20-temp!H20)</f>
        <v>4.0000000000017799E-4</v>
      </c>
      <c r="I20">
        <f>IF(Sheet1!I20=temp!I20,"",Sheet1!I20-temp!I20)</f>
        <v>-1.9999999999997797E-4</v>
      </c>
      <c r="J20" t="str">
        <f>IF(Sheet1!J20=temp!J20,"",Sheet1!J20-temp!J20)</f>
        <v/>
      </c>
      <c r="K20">
        <f>IF(Sheet1!K20=temp!K20,"",Sheet1!K20-temp!K20)</f>
        <v>-1.0000000000000009E-2</v>
      </c>
      <c r="L20">
        <f>IF(Sheet1!L20=temp!L20,"",Sheet1!L20-temp!L20)</f>
        <v>1.0000000000000009E-2</v>
      </c>
      <c r="M20" t="str">
        <f>IF(Sheet1!M20=temp!M20,"",Sheet1!M20-temp!M20)</f>
        <v/>
      </c>
      <c r="N20" t="str">
        <f>IF(Sheet1!N20=temp!N20,"",Sheet1!N20-temp!N20)</f>
        <v/>
      </c>
      <c r="O20">
        <f>IF(Sheet1!O20=temp!O20,"",Sheet1!O20-temp!O20)</f>
        <v>-2.0000000000002655E-5</v>
      </c>
      <c r="P20">
        <f>IF(Sheet1!P20=temp!P20,"",Sheet1!P20-temp!P20)</f>
        <v>4.9999999999997963E-5</v>
      </c>
      <c r="Q20" s="47">
        <f>IF(Sheet1!Q20=temp!Q20,"",1/Sheet1!Q20-1/temp!Q20)</f>
        <v>-2</v>
      </c>
      <c r="R20" s="47">
        <f>IF(Sheet1!R20=temp!R20,"",1/Sheet1!R20-1/temp!R20)</f>
        <v>11</v>
      </c>
      <c r="S20" s="47">
        <f>IF(Sheet1!S20=temp!S20,"",1/Sheet1!S20-1/temp!S20)</f>
        <v>-3</v>
      </c>
      <c r="T20" s="47">
        <f>IF(Sheet1!T20=temp!T20,"",1/Sheet1!T20-1/temp!T20)</f>
        <v>9.9999999999998863</v>
      </c>
      <c r="U20" t="str">
        <f>IF(Sheet1!U20=temp!U20,"",Sheet1!U20-temp!U20)</f>
        <v/>
      </c>
      <c r="V20" t="str">
        <f>IF(Sheet1!V20=temp!V20,"",Sheet1!V20-temp!V20)</f>
        <v/>
      </c>
    </row>
    <row r="21" spans="2:22" x14ac:dyDescent="0.2">
      <c r="B21" t="str">
        <f>IF(Sheet1!B21=temp!B21,"",Sheet1!B21-temp!B21)</f>
        <v/>
      </c>
      <c r="C21" t="str">
        <f>IF(Sheet1!C21=temp!C21,"",Sheet1!C21-temp!C21)</f>
        <v/>
      </c>
      <c r="D21">
        <f>IF(Sheet1!D21=temp!D21,"",Sheet1!D21-temp!D21)</f>
        <v>3.9499999999998181</v>
      </c>
      <c r="E21" t="str">
        <f>IF(Sheet1!E21=temp!E21,"",Sheet1!E21-temp!E21)</f>
        <v/>
      </c>
      <c r="F21">
        <f>IF(Sheet1!F21=temp!F21,"",Sheet1!F21-temp!F21)</f>
        <v>5.9999999999993392E-4</v>
      </c>
      <c r="G21">
        <f>IF(Sheet1!G21=temp!G21,"",Sheet1!G21-temp!G21)</f>
        <v>-4.9999999999994493E-4</v>
      </c>
      <c r="H21">
        <f>IF(Sheet1!H21=temp!H21,"",Sheet1!H21-temp!H21)</f>
        <v>1.9999999999997797E-4</v>
      </c>
      <c r="I21">
        <f>IF(Sheet1!I21=temp!I21,"",Sheet1!I21-temp!I21)</f>
        <v>-1.9999999999997797E-4</v>
      </c>
      <c r="J21" t="str">
        <f>IF(Sheet1!J21=temp!J21,"",Sheet1!J21-temp!J21)</f>
        <v/>
      </c>
      <c r="K21" t="str">
        <f>IF(Sheet1!K21=temp!K21,"",Sheet1!K21-temp!K21)</f>
        <v/>
      </c>
      <c r="L21" t="str">
        <f>IF(Sheet1!L21=temp!L21,"",Sheet1!L21-temp!L21)</f>
        <v/>
      </c>
      <c r="M21" t="str">
        <f>IF(Sheet1!M21=temp!M21,"",Sheet1!M21-temp!M21)</f>
        <v/>
      </c>
      <c r="N21" t="str">
        <f>IF(Sheet1!N21=temp!N21,"",Sheet1!N21-temp!N21)</f>
        <v/>
      </c>
      <c r="O21">
        <f>IF(Sheet1!O21=temp!O21,"",Sheet1!O21-temp!O21)</f>
        <v>-1.9999999999999185E-5</v>
      </c>
      <c r="P21">
        <f>IF(Sheet1!P21=temp!P21,"",Sheet1!P21-temp!P21)</f>
        <v>4.9999999999997963E-5</v>
      </c>
      <c r="Q21" s="47">
        <f>IF(Sheet1!Q21=temp!Q21,"",1/Sheet1!Q21-1/temp!Q21)</f>
        <v>-3</v>
      </c>
      <c r="R21" s="47">
        <f>IF(Sheet1!R21=temp!R21,"",1/Sheet1!R21-1/temp!R21)</f>
        <v>11</v>
      </c>
      <c r="S21" s="47">
        <f>IF(Sheet1!S21=temp!S21,"",1/Sheet1!S21-1/temp!S21)</f>
        <v>-4</v>
      </c>
      <c r="T21" s="47">
        <f>IF(Sheet1!T21=temp!T21,"",1/Sheet1!T21-1/temp!T21)</f>
        <v>9.0000000000001137</v>
      </c>
      <c r="U21" t="str">
        <f>IF(Sheet1!U21=temp!U21,"",Sheet1!U21-temp!U21)</f>
        <v/>
      </c>
      <c r="V21" t="str">
        <f>IF(Sheet1!V21=temp!V21,"",Sheet1!V21-temp!V21)</f>
        <v/>
      </c>
    </row>
    <row r="22" spans="2:22" x14ac:dyDescent="0.2">
      <c r="B22" t="str">
        <f>IF(Sheet1!B22=temp!B22,"",Sheet1!B22-temp!B22)</f>
        <v/>
      </c>
      <c r="C22" t="str">
        <f>IF(Sheet1!C22=temp!C22,"",Sheet1!C22-temp!C22)</f>
        <v/>
      </c>
      <c r="D22">
        <f>IF(Sheet1!D22=temp!D22,"",Sheet1!D22-temp!D22)</f>
        <v>3.9499999999998181</v>
      </c>
      <c r="E22" t="str">
        <f>IF(Sheet1!E22=temp!E22,"",Sheet1!E22-temp!E22)</f>
        <v/>
      </c>
      <c r="F22">
        <f>IF(Sheet1!F22=temp!F22,"",Sheet1!F22-temp!F22)</f>
        <v>3.9999999999995595E-4</v>
      </c>
      <c r="G22">
        <f>IF(Sheet1!G22=temp!G22,"",Sheet1!G22-temp!G22)</f>
        <v>-6.9999999999992291E-4</v>
      </c>
      <c r="H22">
        <f>IF(Sheet1!H22=temp!H22,"",Sheet1!H22-temp!H22)</f>
        <v>9.9999999999988987E-5</v>
      </c>
      <c r="I22">
        <f>IF(Sheet1!I22=temp!I22,"",Sheet1!I22-temp!I22)</f>
        <v>-3.9999999999995595E-4</v>
      </c>
      <c r="J22" t="str">
        <f>IF(Sheet1!J22=temp!J22,"",Sheet1!J22-temp!J22)</f>
        <v/>
      </c>
      <c r="K22" t="str">
        <f>IF(Sheet1!K22=temp!K22,"",Sheet1!K22-temp!K22)</f>
        <v/>
      </c>
      <c r="L22" t="str">
        <f>IF(Sheet1!L22=temp!L22,"",Sheet1!L22-temp!L22)</f>
        <v/>
      </c>
      <c r="M22" t="str">
        <f>IF(Sheet1!M22=temp!M22,"",Sheet1!M22-temp!M22)</f>
        <v/>
      </c>
      <c r="N22" t="str">
        <f>IF(Sheet1!N22=temp!N22,"",Sheet1!N22-temp!N22)</f>
        <v/>
      </c>
      <c r="O22">
        <f>IF(Sheet1!O22=temp!O22,"",Sheet1!O22-temp!O22)</f>
        <v>-2.0000000000002655E-5</v>
      </c>
      <c r="P22">
        <f>IF(Sheet1!P22=temp!P22,"",Sheet1!P22-temp!P22)</f>
        <v>3.999999999999837E-5</v>
      </c>
      <c r="Q22" s="47">
        <f>IF(Sheet1!Q22=temp!Q22,"",1/Sheet1!Q22-1/temp!Q22)</f>
        <v>-2</v>
      </c>
      <c r="R22" s="47">
        <f>IF(Sheet1!R22=temp!R22,"",1/Sheet1!R22-1/temp!R22)</f>
        <v>11</v>
      </c>
      <c r="S22" s="47">
        <f>IF(Sheet1!S22=temp!S22,"",1/Sheet1!S22-1/temp!S22)</f>
        <v>-4</v>
      </c>
      <c r="T22" s="47">
        <f>IF(Sheet1!T22=temp!T22,"",1/Sheet1!T22-1/temp!T22)</f>
        <v>8.9999999999998863</v>
      </c>
      <c r="U22" t="str">
        <f>IF(Sheet1!U22=temp!U22,"",Sheet1!U22-temp!U22)</f>
        <v/>
      </c>
      <c r="V22" t="str">
        <f>IF(Sheet1!V22=temp!V22,"",Sheet1!V22-temp!V22)</f>
        <v/>
      </c>
    </row>
    <row r="23" spans="2:22" x14ac:dyDescent="0.2">
      <c r="B23" t="str">
        <f>IF(Sheet1!B23=temp!B23,"",Sheet1!B23-temp!B23)</f>
        <v/>
      </c>
      <c r="C23" t="str">
        <f>IF(Sheet1!C23=temp!C23,"",Sheet1!C23-temp!C23)</f>
        <v/>
      </c>
      <c r="D23">
        <f>IF(Sheet1!D23=temp!D23,"",Sheet1!D23-temp!D23)</f>
        <v>3.9499999999998181</v>
      </c>
      <c r="E23" t="str">
        <f>IF(Sheet1!E23=temp!E23,"",Sheet1!E23-temp!E23)</f>
        <v/>
      </c>
      <c r="F23">
        <f>IF(Sheet1!F23=temp!F23,"",Sheet1!F23-temp!F23)</f>
        <v>2.9999999999996696E-4</v>
      </c>
      <c r="G23">
        <f>IF(Sheet1!G23=temp!G23,"",Sheet1!G23-temp!G23)</f>
        <v>-8.9999999999990088E-4</v>
      </c>
      <c r="H23">
        <f>IF(Sheet1!H23=temp!H23,"",Sheet1!H23-temp!H23)</f>
        <v>9.9999999999988987E-5</v>
      </c>
      <c r="I23">
        <f>IF(Sheet1!I23=temp!I23,"",Sheet1!I23-temp!I23)</f>
        <v>-3.9999999999995595E-4</v>
      </c>
      <c r="J23" t="str">
        <f>IF(Sheet1!J23=temp!J23,"",Sheet1!J23-temp!J23)</f>
        <v/>
      </c>
      <c r="K23" t="str">
        <f>IF(Sheet1!K23=temp!K23,"",Sheet1!K23-temp!K23)</f>
        <v/>
      </c>
      <c r="L23" t="str">
        <f>IF(Sheet1!L23=temp!L23,"",Sheet1!L23-temp!L23)</f>
        <v/>
      </c>
      <c r="M23" t="str">
        <f>IF(Sheet1!M23=temp!M23,"",Sheet1!M23-temp!M23)</f>
        <v/>
      </c>
      <c r="N23" t="str">
        <f>IF(Sheet1!N23=temp!N23,"",Sheet1!N23-temp!N23)</f>
        <v/>
      </c>
      <c r="O23">
        <f>IF(Sheet1!O23=temp!O23,"",Sheet1!O23-temp!O23)</f>
        <v>-1.9999999999999185E-5</v>
      </c>
      <c r="P23">
        <f>IF(Sheet1!P23=temp!P23,"",Sheet1!P23-temp!P23)</f>
        <v>2.9999999999998778E-5</v>
      </c>
      <c r="Q23" s="47">
        <f>IF(Sheet1!Q23=temp!Q23,"",1/Sheet1!Q23-1/temp!Q23)</f>
        <v>-2</v>
      </c>
      <c r="R23" s="47">
        <f>IF(Sheet1!R23=temp!R23,"",1/Sheet1!R23-1/temp!R23)</f>
        <v>12</v>
      </c>
      <c r="S23" s="47">
        <f>IF(Sheet1!S23=temp!S23,"",1/Sheet1!S23-1/temp!S23)</f>
        <v>-4</v>
      </c>
      <c r="T23" s="47">
        <f>IF(Sheet1!T23=temp!T23,"",1/Sheet1!T23-1/temp!T23)</f>
        <v>9.0000000000001137</v>
      </c>
      <c r="U23" t="str">
        <f>IF(Sheet1!U23=temp!U23,"",Sheet1!U23-temp!U23)</f>
        <v/>
      </c>
      <c r="V23" t="str">
        <f>IF(Sheet1!V23=temp!V23,"",Sheet1!V23-temp!V23)</f>
        <v/>
      </c>
    </row>
    <row r="24" spans="2:22" x14ac:dyDescent="0.2">
      <c r="B24" t="str">
        <f>IF(Sheet1!B24=temp!B24,"",Sheet1!B24-temp!B24)</f>
        <v/>
      </c>
      <c r="C24" t="str">
        <f>IF(Sheet1!C24=temp!C24,"",Sheet1!C24-temp!C24)</f>
        <v/>
      </c>
      <c r="D24">
        <f>IF(Sheet1!D24=temp!D24,"",Sheet1!D24-temp!D24)</f>
        <v>3.9499999999998181</v>
      </c>
      <c r="E24" t="str">
        <f>IF(Sheet1!E24=temp!E24,"",Sheet1!E24-temp!E24)</f>
        <v/>
      </c>
      <c r="F24">
        <f>IF(Sheet1!F24=temp!F24,"",Sheet1!F24-temp!F24)</f>
        <v>2.9999999999996696E-4</v>
      </c>
      <c r="G24">
        <f>IF(Sheet1!G24=temp!G24,"",Sheet1!G24-temp!G24)</f>
        <v>-9.0000000000012292E-4</v>
      </c>
      <c r="H24">
        <f>IF(Sheet1!H24=temp!H24,"",Sheet1!H24-temp!H24)</f>
        <v>9.9999999999988987E-5</v>
      </c>
      <c r="I24">
        <f>IF(Sheet1!I24=temp!I24,"",Sheet1!I24-temp!I24)</f>
        <v>-5.0000000000016698E-4</v>
      </c>
      <c r="J24" t="str">
        <f>IF(Sheet1!J24=temp!J24,"",Sheet1!J24-temp!J24)</f>
        <v/>
      </c>
      <c r="K24" t="str">
        <f>IF(Sheet1!K24=temp!K24,"",Sheet1!K24-temp!K24)</f>
        <v/>
      </c>
      <c r="L24" t="str">
        <f>IF(Sheet1!L24=temp!L24,"",Sheet1!L24-temp!L24)</f>
        <v/>
      </c>
      <c r="M24" t="str">
        <f>IF(Sheet1!M24=temp!M24,"",Sheet1!M24-temp!M24)</f>
        <v/>
      </c>
      <c r="N24" t="str">
        <f>IF(Sheet1!N24=temp!N24,"",Sheet1!N24-temp!N24)</f>
        <v/>
      </c>
      <c r="O24">
        <f>IF(Sheet1!O24=temp!O24,"",Sheet1!O24-temp!O24)</f>
        <v>-9.9999999999995925E-6</v>
      </c>
      <c r="P24">
        <f>IF(Sheet1!P24=temp!P24,"",Sheet1!P24-temp!P24)</f>
        <v>2.9999999999998778E-5</v>
      </c>
      <c r="Q24" s="47">
        <f>IF(Sheet1!Q24=temp!Q24,"",1/Sheet1!Q24-1/temp!Q24)</f>
        <v>-3</v>
      </c>
      <c r="R24" s="47">
        <f>IF(Sheet1!R24=temp!R24,"",1/Sheet1!R24-1/temp!R24)</f>
        <v>11</v>
      </c>
      <c r="S24" s="47">
        <f>IF(Sheet1!S24=temp!S24,"",1/Sheet1!S24-1/temp!S24)</f>
        <v>-3</v>
      </c>
      <c r="T24" s="47">
        <f>IF(Sheet1!T24=temp!T24,"",1/Sheet1!T24-1/temp!T24)</f>
        <v>10</v>
      </c>
      <c r="U24" t="str">
        <f>IF(Sheet1!U24=temp!U24,"",Sheet1!U24-temp!U24)</f>
        <v/>
      </c>
      <c r="V24" t="str">
        <f>IF(Sheet1!V24=temp!V24,"",Sheet1!V24-temp!V24)</f>
        <v/>
      </c>
    </row>
    <row r="25" spans="2:22" x14ac:dyDescent="0.2">
      <c r="B25" t="str">
        <f>IF(Sheet1!B25=temp!B25,"",Sheet1!B25-temp!B25)</f>
        <v/>
      </c>
      <c r="C25" t="str">
        <f>IF(Sheet1!C25=temp!C25,"",Sheet1!C25-temp!C25)</f>
        <v/>
      </c>
      <c r="D25">
        <f>IF(Sheet1!D25=temp!D25,"",Sheet1!D25-temp!D25)</f>
        <v>3.9499999999998181</v>
      </c>
      <c r="E25" t="str">
        <f>IF(Sheet1!E25=temp!E25,"",Sheet1!E25-temp!E25)</f>
        <v/>
      </c>
      <c r="F25">
        <f>IF(Sheet1!F25=temp!F25,"",Sheet1!F25-temp!F25)</f>
        <v>1.9999999999997797E-4</v>
      </c>
      <c r="G25">
        <f>IF(Sheet1!G25=temp!G25,"",Sheet1!G25-temp!G25)</f>
        <v>-9.9999999999988987E-4</v>
      </c>
      <c r="H25" t="str">
        <f>IF(Sheet1!H25=temp!H25,"",Sheet1!H25-temp!H25)</f>
        <v/>
      </c>
      <c r="I25">
        <f>IF(Sheet1!I25=temp!I25,"",Sheet1!I25-temp!I25)</f>
        <v>-4.0000000000017799E-4</v>
      </c>
      <c r="J25" t="str">
        <f>IF(Sheet1!J25=temp!J25,"",Sheet1!J25-temp!J25)</f>
        <v/>
      </c>
      <c r="K25" t="str">
        <f>IF(Sheet1!K25=temp!K25,"",Sheet1!K25-temp!K25)</f>
        <v/>
      </c>
      <c r="L25" t="str">
        <f>IF(Sheet1!L25=temp!L25,"",Sheet1!L25-temp!L25)</f>
        <v/>
      </c>
      <c r="M25" t="str">
        <f>IF(Sheet1!M25=temp!M25,"",Sheet1!M25-temp!M25)</f>
        <v/>
      </c>
      <c r="N25" t="str">
        <f>IF(Sheet1!N25=temp!N25,"",Sheet1!N25-temp!N25)</f>
        <v/>
      </c>
      <c r="O25">
        <f>IF(Sheet1!O25=temp!O25,"",Sheet1!O25-temp!O25)</f>
        <v>-1.9999999999999185E-5</v>
      </c>
      <c r="P25">
        <f>IF(Sheet1!P25=temp!P25,"",Sheet1!P25-temp!P25)</f>
        <v>1.9999999999999185E-5</v>
      </c>
      <c r="Q25" s="47">
        <f>IF(Sheet1!Q25=temp!Q25,"",1/Sheet1!Q25-1/temp!Q25)</f>
        <v>-3</v>
      </c>
      <c r="R25" s="47">
        <f>IF(Sheet1!R25=temp!R25,"",1/Sheet1!R25-1/temp!R25)</f>
        <v>11</v>
      </c>
      <c r="S25" s="47">
        <f>IF(Sheet1!S25=temp!S25,"",1/Sheet1!S25-1/temp!S25)</f>
        <v>-3</v>
      </c>
      <c r="T25" s="47">
        <f>IF(Sheet1!T25=temp!T25,"",1/Sheet1!T25-1/temp!T25)</f>
        <v>10</v>
      </c>
      <c r="U25" t="str">
        <f>IF(Sheet1!U25=temp!U25,"",Sheet1!U25-temp!U25)</f>
        <v/>
      </c>
      <c r="V25" t="str">
        <f>IF(Sheet1!V25=temp!V25,"",Sheet1!V25-temp!V25)</f>
        <v/>
      </c>
    </row>
    <row r="26" spans="2:22" x14ac:dyDescent="0.2">
      <c r="B26" t="str">
        <f>IF(Sheet1!B26=temp!B26,"",Sheet1!B26-temp!B26)</f>
        <v/>
      </c>
      <c r="C26" t="str">
        <f>IF(Sheet1!C26=temp!C26,"",Sheet1!C26-temp!C26)</f>
        <v/>
      </c>
      <c r="D26">
        <f>IF(Sheet1!D26=temp!D26,"",Sheet1!D26-temp!D26)</f>
        <v>3.9499999999998181</v>
      </c>
      <c r="E26" t="str">
        <f>IF(Sheet1!E26=temp!E26,"",Sheet1!E26-temp!E26)</f>
        <v/>
      </c>
      <c r="F26">
        <f>IF(Sheet1!F26=temp!F26,"",Sheet1!F26-temp!F26)</f>
        <v>-9.9999999999988987E-5</v>
      </c>
      <c r="G26">
        <f>IF(Sheet1!G26=temp!G26,"",Sheet1!G26-temp!G26)</f>
        <v>-9.9999999999988987E-4</v>
      </c>
      <c r="H26">
        <f>IF(Sheet1!H26=temp!H26,"",Sheet1!H26-temp!H26)</f>
        <v>-1.0000000000021103E-4</v>
      </c>
      <c r="I26">
        <f>IF(Sheet1!I26=temp!I26,"",Sheet1!I26-temp!I26)</f>
        <v>-3.9999999999995595E-4</v>
      </c>
      <c r="J26" t="str">
        <f>IF(Sheet1!J26=temp!J26,"",Sheet1!J26-temp!J26)</f>
        <v/>
      </c>
      <c r="K26" t="str">
        <f>IF(Sheet1!K26=temp!K26,"",Sheet1!K26-temp!K26)</f>
        <v/>
      </c>
      <c r="L26" t="str">
        <f>IF(Sheet1!L26=temp!L26,"",Sheet1!L26-temp!L26)</f>
        <v/>
      </c>
      <c r="M26" t="str">
        <f>IF(Sheet1!M26=temp!M26,"",Sheet1!M26-temp!M26)</f>
        <v/>
      </c>
      <c r="N26" t="str">
        <f>IF(Sheet1!N26=temp!N26,"",Sheet1!N26-temp!N26)</f>
        <v/>
      </c>
      <c r="O26">
        <f>IF(Sheet1!O26=temp!O26,"",Sheet1!O26-temp!O26)</f>
        <v>-1.9999999999999185E-5</v>
      </c>
      <c r="P26">
        <f>IF(Sheet1!P26=temp!P26,"",Sheet1!P26-temp!P26)</f>
        <v>1.9999999999999185E-5</v>
      </c>
      <c r="Q26" s="47">
        <f>IF(Sheet1!Q26=temp!Q26,"",1/Sheet1!Q26-1/temp!Q26)</f>
        <v>-3</v>
      </c>
      <c r="R26" s="47">
        <f>IF(Sheet1!R26=temp!R26,"",1/Sheet1!R26-1/temp!R26)</f>
        <v>11</v>
      </c>
      <c r="S26" s="47">
        <f>IF(Sheet1!S26=temp!S26,"",1/Sheet1!S26-1/temp!S26)</f>
        <v>-3</v>
      </c>
      <c r="T26" s="47">
        <f>IF(Sheet1!T26=temp!T26,"",1/Sheet1!T26-1/temp!T26)</f>
        <v>9</v>
      </c>
      <c r="U26" t="str">
        <f>IF(Sheet1!U26=temp!U26,"",Sheet1!U26-temp!U26)</f>
        <v/>
      </c>
      <c r="V26" t="str">
        <f>IF(Sheet1!V26=temp!V26,"",Sheet1!V26-temp!V26)</f>
        <v/>
      </c>
    </row>
    <row r="27" spans="2:22" x14ac:dyDescent="0.2">
      <c r="B27" t="str">
        <f>IF(Sheet1!B27=temp!B27,"",Sheet1!B27-temp!B27)</f>
        <v/>
      </c>
      <c r="C27" t="str">
        <f>IF(Sheet1!C27=temp!C27,"",Sheet1!C27-temp!C27)</f>
        <v/>
      </c>
      <c r="D27">
        <f>IF(Sheet1!D27=temp!D27,"",Sheet1!D27-temp!D27)</f>
        <v>3.9499999999998181</v>
      </c>
      <c r="E27" t="str">
        <f>IF(Sheet1!E27=temp!E27,"",Sheet1!E27-temp!E27)</f>
        <v/>
      </c>
      <c r="F27">
        <f>IF(Sheet1!F27=temp!F27,"",Sheet1!F27-temp!F27)</f>
        <v>-9.9999999999988987E-5</v>
      </c>
      <c r="G27">
        <f>IF(Sheet1!G27=temp!G27,"",Sheet1!G27-temp!G27)</f>
        <v>-8.9999999999990088E-4</v>
      </c>
      <c r="H27" t="str">
        <f>IF(Sheet1!H27=temp!H27,"",Sheet1!H27-temp!H27)</f>
        <v/>
      </c>
      <c r="I27">
        <f>IF(Sheet1!I27=temp!I27,"",Sheet1!I27-temp!I27)</f>
        <v>-4.0000000000017799E-4</v>
      </c>
      <c r="J27" t="str">
        <f>IF(Sheet1!J27=temp!J27,"",Sheet1!J27-temp!J27)</f>
        <v/>
      </c>
      <c r="K27" t="str">
        <f>IF(Sheet1!K27=temp!K27,"",Sheet1!K27-temp!K27)</f>
        <v/>
      </c>
      <c r="L27" t="str">
        <f>IF(Sheet1!L27=temp!L27,"",Sheet1!L27-temp!L27)</f>
        <v/>
      </c>
      <c r="M27" t="str">
        <f>IF(Sheet1!M27=temp!M27,"",Sheet1!M27-temp!M27)</f>
        <v/>
      </c>
      <c r="N27" t="str">
        <f>IF(Sheet1!N27=temp!N27,"",Sheet1!N27-temp!N27)</f>
        <v/>
      </c>
      <c r="O27">
        <f>IF(Sheet1!O27=temp!O27,"",Sheet1!O27-temp!O27)</f>
        <v>-1.9999999999999185E-5</v>
      </c>
      <c r="P27">
        <f>IF(Sheet1!P27=temp!P27,"",Sheet1!P27-temp!P27)</f>
        <v>9.9999999999995925E-6</v>
      </c>
      <c r="Q27" s="47">
        <f>IF(Sheet1!Q27=temp!Q27,"",1/Sheet1!Q27-1/temp!Q27)</f>
        <v>-3</v>
      </c>
      <c r="R27" s="47">
        <f>IF(Sheet1!R27=temp!R27,"",1/Sheet1!R27-1/temp!R27)</f>
        <v>11</v>
      </c>
      <c r="S27" s="47">
        <f>IF(Sheet1!S27=temp!S27,"",1/Sheet1!S27-1/temp!S27)</f>
        <v>-4</v>
      </c>
      <c r="T27" s="47">
        <f>IF(Sheet1!T27=temp!T27,"",1/Sheet1!T27-1/temp!T27)</f>
        <v>10</v>
      </c>
      <c r="U27" t="str">
        <f>IF(Sheet1!U27=temp!U27,"",Sheet1!U27-temp!U27)</f>
        <v/>
      </c>
      <c r="V27" t="str">
        <f>IF(Sheet1!V27=temp!V27,"",Sheet1!V27-temp!V27)</f>
        <v/>
      </c>
    </row>
    <row r="28" spans="2:22" x14ac:dyDescent="0.2">
      <c r="B28" t="str">
        <f>IF(Sheet1!B28=temp!B28,"",Sheet1!B28-temp!B28)</f>
        <v/>
      </c>
      <c r="C28" t="str">
        <f>IF(Sheet1!C28=temp!C28,"",Sheet1!C28-temp!C28)</f>
        <v/>
      </c>
      <c r="D28">
        <f>IF(Sheet1!D28=temp!D28,"",Sheet1!D28-temp!D28)</f>
        <v>3.9499999999998181</v>
      </c>
      <c r="E28" t="str">
        <f>IF(Sheet1!E28=temp!E28,"",Sheet1!E28-temp!E28)</f>
        <v/>
      </c>
      <c r="F28" t="str">
        <f>IF(Sheet1!F28=temp!F28,"",Sheet1!F28-temp!F28)</f>
        <v/>
      </c>
      <c r="G28">
        <f>IF(Sheet1!G28=temp!G28,"",Sheet1!G28-temp!G28)</f>
        <v>-9.9999999999988987E-4</v>
      </c>
      <c r="H28">
        <f>IF(Sheet1!H28=temp!H28,"",Sheet1!H28-temp!H28)</f>
        <v>9.9999999999988987E-5</v>
      </c>
      <c r="I28">
        <f>IF(Sheet1!I28=temp!I28,"",Sheet1!I28-temp!I28)</f>
        <v>-5.0000000000016698E-4</v>
      </c>
      <c r="J28" t="str">
        <f>IF(Sheet1!J28=temp!J28,"",Sheet1!J28-temp!J28)</f>
        <v/>
      </c>
      <c r="K28" t="str">
        <f>IF(Sheet1!K28=temp!K28,"",Sheet1!K28-temp!K28)</f>
        <v/>
      </c>
      <c r="L28" t="str">
        <f>IF(Sheet1!L28=temp!L28,"",Sheet1!L28-temp!L28)</f>
        <v/>
      </c>
      <c r="M28" t="str">
        <f>IF(Sheet1!M28=temp!M28,"",Sheet1!M28-temp!M28)</f>
        <v/>
      </c>
      <c r="N28" t="str">
        <f>IF(Sheet1!N28=temp!N28,"",Sheet1!N28-temp!N28)</f>
        <v/>
      </c>
      <c r="O28">
        <f>IF(Sheet1!O28=temp!O28,"",Sheet1!O28-temp!O28)</f>
        <v>-1.9999999999999185E-5</v>
      </c>
      <c r="P28">
        <f>IF(Sheet1!P28=temp!P28,"",Sheet1!P28-temp!P28)</f>
        <v>9.9999999999995925E-6</v>
      </c>
      <c r="Q28" s="47">
        <f>IF(Sheet1!Q28=temp!Q28,"",1/Sheet1!Q28-1/temp!Q28)</f>
        <v>-3</v>
      </c>
      <c r="R28" s="47">
        <f>IF(Sheet1!R28=temp!R28,"",1/Sheet1!R28-1/temp!R28)</f>
        <v>9.9999999999997726</v>
      </c>
      <c r="S28" s="47">
        <f>IF(Sheet1!S28=temp!S28,"",1/Sheet1!S28-1/temp!S28)</f>
        <v>-4</v>
      </c>
      <c r="T28" s="47">
        <f>IF(Sheet1!T28=temp!T28,"",1/Sheet1!T28-1/temp!T28)</f>
        <v>9</v>
      </c>
      <c r="U28" t="str">
        <f>IF(Sheet1!U28=temp!U28,"",Sheet1!U28-temp!U28)</f>
        <v/>
      </c>
      <c r="V28" t="str">
        <f>IF(Sheet1!V28=temp!V28,"",Sheet1!V28-temp!V28)</f>
        <v/>
      </c>
    </row>
    <row r="29" spans="2:22" x14ac:dyDescent="0.2">
      <c r="B29" t="str">
        <f>IF(Sheet1!B29=temp!B29,"",Sheet1!B29-temp!B29)</f>
        <v/>
      </c>
      <c r="C29" t="str">
        <f>IF(Sheet1!C29=temp!C29,"",Sheet1!C29-temp!C29)</f>
        <v/>
      </c>
      <c r="D29">
        <f>IF(Sheet1!D29=temp!D29,"",Sheet1!D29-temp!D29)</f>
        <v>3.9499999999998181</v>
      </c>
      <c r="E29" t="str">
        <f>IF(Sheet1!E29=temp!E29,"",Sheet1!E29-temp!E29)</f>
        <v/>
      </c>
      <c r="F29">
        <f>IF(Sheet1!F29=temp!F29,"",Sheet1!F29-temp!F29)</f>
        <v>1.9999999999997797E-4</v>
      </c>
      <c r="G29">
        <f>IF(Sheet1!G29=temp!G29,"",Sheet1!G29-temp!G29)</f>
        <v>-1.1000000000001009E-3</v>
      </c>
      <c r="H29">
        <f>IF(Sheet1!H29=temp!H29,"",Sheet1!H29-temp!H29)</f>
        <v>2.0000000000020002E-4</v>
      </c>
      <c r="I29">
        <f>IF(Sheet1!I29=temp!I29,"",Sheet1!I29-temp!I29)</f>
        <v>-4.9999999999994493E-4</v>
      </c>
      <c r="J29" t="str">
        <f>IF(Sheet1!J29=temp!J29,"",Sheet1!J29-temp!J29)</f>
        <v/>
      </c>
      <c r="K29" t="str">
        <f>IF(Sheet1!K29=temp!K29,"",Sheet1!K29-temp!K29)</f>
        <v/>
      </c>
      <c r="L29" t="str">
        <f>IF(Sheet1!L29=temp!L29,"",Sheet1!L29-temp!L29)</f>
        <v/>
      </c>
      <c r="M29" t="str">
        <f>IF(Sheet1!M29=temp!M29,"",Sheet1!M29-temp!M29)</f>
        <v/>
      </c>
      <c r="N29" t="str">
        <f>IF(Sheet1!N29=temp!N29,"",Sheet1!N29-temp!N29)</f>
        <v/>
      </c>
      <c r="O29">
        <f>IF(Sheet1!O29=temp!O29,"",Sheet1!O29-temp!O29)</f>
        <v>-3.0000000000002247E-5</v>
      </c>
      <c r="P29">
        <f>IF(Sheet1!P29=temp!P29,"",Sheet1!P29-temp!P29)</f>
        <v>9.9999999999995925E-6</v>
      </c>
      <c r="Q29" s="47">
        <f>IF(Sheet1!Q29=temp!Q29,"",1/Sheet1!Q29-1/temp!Q29)</f>
        <v>-2</v>
      </c>
      <c r="R29" s="47">
        <f>IF(Sheet1!R29=temp!R29,"",1/Sheet1!R29-1/temp!R29)</f>
        <v>10</v>
      </c>
      <c r="S29" s="47">
        <f>IF(Sheet1!S29=temp!S29,"",1/Sheet1!S29-1/temp!S29)</f>
        <v>-3</v>
      </c>
      <c r="T29" s="47">
        <f>IF(Sheet1!T29=temp!T29,"",1/Sheet1!T29-1/temp!T29)</f>
        <v>9</v>
      </c>
      <c r="U29" t="str">
        <f>IF(Sheet1!U29=temp!U29,"",Sheet1!U29-temp!U29)</f>
        <v/>
      </c>
      <c r="V29" t="str">
        <f>IF(Sheet1!V29=temp!V29,"",Sheet1!V29-temp!V29)</f>
        <v/>
      </c>
    </row>
    <row r="30" spans="2:22" x14ac:dyDescent="0.2">
      <c r="B30" t="str">
        <f>IF(Sheet1!B30=temp!B30,"",Sheet1!B30-temp!B30)</f>
        <v/>
      </c>
      <c r="C30" t="str">
        <f>IF(Sheet1!C30=temp!C30,"",Sheet1!C30-temp!C30)</f>
        <v/>
      </c>
      <c r="D30">
        <f>IF(Sheet1!D30=temp!D30,"",Sheet1!D30-temp!D30)</f>
        <v>3.9499999999998181</v>
      </c>
      <c r="E30" t="str">
        <f>IF(Sheet1!E30=temp!E30,"",Sheet1!E30-temp!E30)</f>
        <v/>
      </c>
      <c r="F30">
        <f>IF(Sheet1!F30=temp!F30,"",Sheet1!F30-temp!F30)</f>
        <v>6.0000000000015596E-4</v>
      </c>
      <c r="G30">
        <f>IF(Sheet1!G30=temp!G30,"",Sheet1!G30-temp!G30)</f>
        <v>-1.5000000000000568E-3</v>
      </c>
      <c r="H30">
        <f>IF(Sheet1!H30=temp!H30,"",Sheet1!H30-temp!H30)</f>
        <v>3.9999999999995595E-4</v>
      </c>
      <c r="I30">
        <f>IF(Sheet1!I30=temp!I30,"",Sheet1!I30-temp!I30)</f>
        <v>-7.9999999999991189E-4</v>
      </c>
      <c r="J30" t="str">
        <f>IF(Sheet1!J30=temp!J30,"",Sheet1!J30-temp!J30)</f>
        <v/>
      </c>
      <c r="K30" t="str">
        <f>IF(Sheet1!K30=temp!K30,"",Sheet1!K30-temp!K30)</f>
        <v/>
      </c>
      <c r="L30" t="str">
        <f>IF(Sheet1!L30=temp!L30,"",Sheet1!L30-temp!L30)</f>
        <v/>
      </c>
      <c r="M30" t="str">
        <f>IF(Sheet1!M30=temp!M30,"",Sheet1!M30-temp!M30)</f>
        <v/>
      </c>
      <c r="N30" t="str">
        <f>IF(Sheet1!N30=temp!N30,"",Sheet1!N30-temp!N30)</f>
        <v/>
      </c>
      <c r="O30">
        <f>IF(Sheet1!O30=temp!O30,"",Sheet1!O30-temp!O30)</f>
        <v>-2.0000000000002655E-5</v>
      </c>
      <c r="P30">
        <f>IF(Sheet1!P30=temp!P30,"",Sheet1!P30-temp!P30)</f>
        <v>9.9999999999995925E-6</v>
      </c>
      <c r="Q30" s="47">
        <f>IF(Sheet1!Q30=temp!Q30,"",1/Sheet1!Q30-1/temp!Q30)</f>
        <v>-2</v>
      </c>
      <c r="R30" s="47">
        <f>IF(Sheet1!R30=temp!R30,"",1/Sheet1!R30-1/temp!R30)</f>
        <v>9</v>
      </c>
      <c r="S30" s="47">
        <f>IF(Sheet1!S30=temp!S30,"",1/Sheet1!S30-1/temp!S30)</f>
        <v>-3</v>
      </c>
      <c r="T30" s="47">
        <f>IF(Sheet1!T30=temp!T30,"",1/Sheet1!T30-1/temp!T30)</f>
        <v>9</v>
      </c>
      <c r="U30" t="str">
        <f>IF(Sheet1!U30=temp!U30,"",Sheet1!U30-temp!U30)</f>
        <v/>
      </c>
      <c r="V30" t="str">
        <f>IF(Sheet1!V30=temp!V30,"",Sheet1!V30-temp!V30)</f>
        <v/>
      </c>
    </row>
    <row r="31" spans="2:22" x14ac:dyDescent="0.2">
      <c r="B31" t="str">
        <f>IF(Sheet1!B31=temp!B31,"",Sheet1!B31-temp!B31)</f>
        <v/>
      </c>
      <c r="C31" t="str">
        <f>IF(Sheet1!C31=temp!C31,"",Sheet1!C31-temp!C31)</f>
        <v/>
      </c>
      <c r="D31">
        <f>IF(Sheet1!D31=temp!D31,"",Sheet1!D31-temp!D31)</f>
        <v>1.8400000000001455</v>
      </c>
      <c r="E31" t="str">
        <f>IF(Sheet1!E31=temp!E31,"",Sheet1!E31-temp!E31)</f>
        <v/>
      </c>
      <c r="F31" t="str">
        <f>IF(Sheet1!F31=temp!F31,"",Sheet1!F31-temp!F31)</f>
        <v/>
      </c>
      <c r="G31">
        <f>IF(Sheet1!G31=temp!G31,"",Sheet1!G31-temp!G31)</f>
        <v>-5.9999999999993392E-4</v>
      </c>
      <c r="H31">
        <f>IF(Sheet1!H31=temp!H31,"",Sheet1!H31-temp!H31)</f>
        <v>-2.9999999999996696E-4</v>
      </c>
      <c r="I31">
        <f>IF(Sheet1!I31=temp!I31,"",Sheet1!I31-temp!I31)</f>
        <v>1.9999999999997797E-4</v>
      </c>
      <c r="J31" t="str">
        <f>IF(Sheet1!J31=temp!J31,"",Sheet1!J31-temp!J31)</f>
        <v/>
      </c>
      <c r="K31" t="str">
        <f>IF(Sheet1!K31=temp!K31,"",Sheet1!K31-temp!K31)</f>
        <v/>
      </c>
      <c r="L31" t="str">
        <f>IF(Sheet1!L31=temp!L31,"",Sheet1!L31-temp!L31)</f>
        <v/>
      </c>
      <c r="M31" t="str">
        <f>IF(Sheet1!M31=temp!M31,"",Sheet1!M31-temp!M31)</f>
        <v/>
      </c>
      <c r="N31" t="str">
        <f>IF(Sheet1!N31=temp!N31,"",Sheet1!N31-temp!N31)</f>
        <v/>
      </c>
      <c r="O31">
        <f>IF(Sheet1!O31=temp!O31,"",Sheet1!O31-temp!O31)</f>
        <v>-1.9999999999999185E-5</v>
      </c>
      <c r="P31">
        <f>IF(Sheet1!P31=temp!P31,"",Sheet1!P31-temp!P31)</f>
        <v>9.9999999999995925E-6</v>
      </c>
      <c r="Q31" s="47">
        <f>IF(Sheet1!Q31=temp!Q31,"",1/Sheet1!Q31-1/temp!Q31)</f>
        <v>-3</v>
      </c>
      <c r="R31" s="47">
        <f>IF(Sheet1!R31=temp!R31,"",1/Sheet1!R31-1/temp!R31)</f>
        <v>10.000000000000227</v>
      </c>
      <c r="S31" s="47">
        <f>IF(Sheet1!S31=temp!S31,"",1/Sheet1!S31-1/temp!S31)</f>
        <v>-4</v>
      </c>
      <c r="T31" s="47">
        <f>IF(Sheet1!T31=temp!T31,"",1/Sheet1!T31-1/temp!T31)</f>
        <v>9</v>
      </c>
      <c r="U31" t="str">
        <f>IF(Sheet1!U31=temp!U31,"",Sheet1!U31-temp!U31)</f>
        <v/>
      </c>
      <c r="V31" t="str">
        <f>IF(Sheet1!V31=temp!V31,"",Sheet1!V31-temp!V31)</f>
        <v/>
      </c>
    </row>
    <row r="32" spans="2:22" x14ac:dyDescent="0.2">
      <c r="B32" t="str">
        <f>IF(Sheet1!B32=temp!B32,"",Sheet1!B32-temp!B32)</f>
        <v/>
      </c>
      <c r="C32" t="str">
        <f>IF(Sheet1!C32=temp!C32,"",Sheet1!C32-temp!C32)</f>
        <v/>
      </c>
      <c r="D32">
        <f>IF(Sheet1!D32=temp!D32,"",Sheet1!D32-temp!D32)</f>
        <v>3.9400000000000546</v>
      </c>
      <c r="E32" t="str">
        <f>IF(Sheet1!E32=temp!E32,"",Sheet1!E32-temp!E32)</f>
        <v/>
      </c>
      <c r="F32">
        <f>IF(Sheet1!F32=temp!F32,"",Sheet1!F32-temp!F32)</f>
        <v>1.2000000000000899E-3</v>
      </c>
      <c r="G32">
        <f>IF(Sheet1!G32=temp!G32,"",Sheet1!G32-temp!G32)</f>
        <v>4.9999999999994493E-4</v>
      </c>
      <c r="H32">
        <f>IF(Sheet1!H32=temp!H32,"",Sheet1!H32-temp!H32)</f>
        <v>1.2000000000000899E-3</v>
      </c>
      <c r="I32">
        <f>IF(Sheet1!I32=temp!I32,"",Sheet1!I32-temp!I32)</f>
        <v>6.0000000000015596E-4</v>
      </c>
      <c r="J32" t="str">
        <f>IF(Sheet1!J32=temp!J32,"",Sheet1!J32-temp!J32)</f>
        <v/>
      </c>
      <c r="K32">
        <f>IF(Sheet1!K32=temp!K32,"",Sheet1!K32-temp!K32)</f>
        <v>-1.0000000000000009E-2</v>
      </c>
      <c r="L32" t="str">
        <f>IF(Sheet1!L32=temp!L32,"",Sheet1!L32-temp!L32)</f>
        <v/>
      </c>
      <c r="M32" t="str">
        <f>IF(Sheet1!M32=temp!M32,"",Sheet1!M32-temp!M32)</f>
        <v/>
      </c>
      <c r="N32" t="str">
        <f>IF(Sheet1!N32=temp!N32,"",Sheet1!N32-temp!N32)</f>
        <v/>
      </c>
      <c r="O32">
        <f>IF(Sheet1!O32=temp!O32,"",Sheet1!O32-temp!O32)</f>
        <v>-1.9999999999999185E-5</v>
      </c>
      <c r="P32">
        <f>IF(Sheet1!P32=temp!P32,"",Sheet1!P32-temp!P32)</f>
        <v>9.9999999999995925E-6</v>
      </c>
      <c r="Q32" s="47">
        <f>IF(Sheet1!Q32=temp!Q32,"",1/Sheet1!Q32-1/temp!Q32)</f>
        <v>-2</v>
      </c>
      <c r="R32" s="47">
        <f>IF(Sheet1!R32=temp!R32,"",1/Sheet1!R32-1/temp!R32)</f>
        <v>11.000000000000227</v>
      </c>
      <c r="S32" s="47">
        <f>IF(Sheet1!S32=temp!S32,"",1/Sheet1!S32-1/temp!S32)</f>
        <v>-2</v>
      </c>
      <c r="T32" s="47">
        <f>IF(Sheet1!T32=temp!T32,"",1/Sheet1!T32-1/temp!T32)</f>
        <v>10</v>
      </c>
      <c r="U32" t="str">
        <f>IF(Sheet1!U32=temp!U32,"",Sheet1!U32-temp!U32)</f>
        <v/>
      </c>
      <c r="V32" t="str">
        <f>IF(Sheet1!V32=temp!V32,"",Sheet1!V32-temp!V32)</f>
        <v/>
      </c>
    </row>
    <row r="33" spans="2:22" x14ac:dyDescent="0.2">
      <c r="B33" t="str">
        <f>IF(Sheet1!B33=temp!B33,"",Sheet1!B33-temp!B33)</f>
        <v/>
      </c>
      <c r="C33" t="str">
        <f>IF(Sheet1!C33=temp!C33,"",Sheet1!C33-temp!C33)</f>
        <v/>
      </c>
      <c r="D33">
        <f>IF(Sheet1!D33=temp!D33,"",Sheet1!D33-temp!D33)</f>
        <v>3.9400000000000546</v>
      </c>
      <c r="E33" t="str">
        <f>IF(Sheet1!E33=temp!E33,"",Sheet1!E33-temp!E33)</f>
        <v/>
      </c>
      <c r="F33">
        <f>IF(Sheet1!F33=temp!F33,"",Sheet1!F33-temp!F33)</f>
        <v>1.7000000000000348E-3</v>
      </c>
      <c r="G33">
        <f>IF(Sheet1!G33=temp!G33,"",Sheet1!G33-temp!G33)</f>
        <v>-6.0000000000015596E-4</v>
      </c>
      <c r="H33">
        <f>IF(Sheet1!H33=temp!H33,"",Sheet1!H33-temp!H33)</f>
        <v>7.9999999999991189E-4</v>
      </c>
      <c r="I33">
        <f>IF(Sheet1!I33=temp!I33,"",Sheet1!I33-temp!I33)</f>
        <v>-8.9999999999990088E-4</v>
      </c>
      <c r="J33" t="str">
        <f>IF(Sheet1!J33=temp!J33,"",Sheet1!J33-temp!J33)</f>
        <v/>
      </c>
      <c r="K33" t="str">
        <f>IF(Sheet1!K33=temp!K33,"",Sheet1!K33-temp!K33)</f>
        <v/>
      </c>
      <c r="L33" t="str">
        <f>IF(Sheet1!L33=temp!L33,"",Sheet1!L33-temp!L33)</f>
        <v/>
      </c>
      <c r="M33" t="str">
        <f>IF(Sheet1!M33=temp!M33,"",Sheet1!M33-temp!M33)</f>
        <v/>
      </c>
      <c r="N33" t="str">
        <f>IF(Sheet1!N33=temp!N33,"",Sheet1!N33-temp!N33)</f>
        <v/>
      </c>
      <c r="O33">
        <f>IF(Sheet1!O33=temp!O33,"",Sheet1!O33-temp!O33)</f>
        <v>-1.9999999999999185E-5</v>
      </c>
      <c r="P33">
        <f>IF(Sheet1!P33=temp!P33,"",Sheet1!P33-temp!P33)</f>
        <v>9.9999999999995925E-6</v>
      </c>
      <c r="Q33" s="47">
        <f>IF(Sheet1!Q33=temp!Q33,"",1/Sheet1!Q33-1/temp!Q33)</f>
        <v>-2</v>
      </c>
      <c r="R33" s="47">
        <f>IF(Sheet1!R33=temp!R33,"",1/Sheet1!R33-1/temp!R33)</f>
        <v>9.9999999999997726</v>
      </c>
      <c r="S33" s="47">
        <f>IF(Sheet1!S33=temp!S33,"",1/Sheet1!S33-1/temp!S33)</f>
        <v>-1</v>
      </c>
      <c r="T33" s="47">
        <f>IF(Sheet1!T33=temp!T33,"",1/Sheet1!T33-1/temp!T33)</f>
        <v>10</v>
      </c>
      <c r="U33" t="str">
        <f>IF(Sheet1!U33=temp!U33,"",Sheet1!U33-temp!U33)</f>
        <v/>
      </c>
      <c r="V33" t="str">
        <f>IF(Sheet1!V33=temp!V33,"",Sheet1!V33-temp!V33)</f>
        <v/>
      </c>
    </row>
    <row r="34" spans="2:22" x14ac:dyDescent="0.2">
      <c r="B34" t="str">
        <f>IF(Sheet1!B34=temp!B34,"",Sheet1!B34-temp!B34)</f>
        <v/>
      </c>
      <c r="C34" t="str">
        <f>IF(Sheet1!C34=temp!C34,"",Sheet1!C34-temp!C34)</f>
        <v/>
      </c>
      <c r="D34">
        <f>IF(Sheet1!D34=temp!D34,"",Sheet1!D34-temp!D34)</f>
        <v>3.9400000000000546</v>
      </c>
      <c r="E34" t="str">
        <f>IF(Sheet1!E34=temp!E34,"",Sheet1!E34-temp!E34)</f>
        <v/>
      </c>
      <c r="F34">
        <f>IF(Sheet1!F34=temp!F34,"",Sheet1!F34-temp!F34)</f>
        <v>2.0999999999999908E-3</v>
      </c>
      <c r="G34">
        <f>IF(Sheet1!G34=temp!G34,"",Sheet1!G34-temp!G34)</f>
        <v>-1.2000000000000899E-3</v>
      </c>
      <c r="H34">
        <f>IF(Sheet1!H34=temp!H34,"",Sheet1!H34-temp!H34)</f>
        <v>8.9999999999990088E-4</v>
      </c>
      <c r="I34">
        <f>IF(Sheet1!I34=temp!I34,"",Sheet1!I34-temp!I34)</f>
        <v>-5.9999999999993392E-4</v>
      </c>
      <c r="J34" t="str">
        <f>IF(Sheet1!J34=temp!J34,"",Sheet1!J34-temp!J34)</f>
        <v/>
      </c>
      <c r="K34" t="str">
        <f>IF(Sheet1!K34=temp!K34,"",Sheet1!K34-temp!K34)</f>
        <v/>
      </c>
      <c r="L34" t="str">
        <f>IF(Sheet1!L34=temp!L34,"",Sheet1!L34-temp!L34)</f>
        <v/>
      </c>
      <c r="M34" t="str">
        <f>IF(Sheet1!M34=temp!M34,"",Sheet1!M34-temp!M34)</f>
        <v/>
      </c>
      <c r="N34" t="str">
        <f>IF(Sheet1!N34=temp!N34,"",Sheet1!N34-temp!N34)</f>
        <v/>
      </c>
      <c r="O34">
        <f>IF(Sheet1!O34=temp!O34,"",Sheet1!O34-temp!O34)</f>
        <v>-9.9999999999995925E-6</v>
      </c>
      <c r="P34">
        <f>IF(Sheet1!P34=temp!P34,"",Sheet1!P34-temp!P34)</f>
        <v>9.9999999999995925E-6</v>
      </c>
      <c r="Q34" s="47">
        <f>IF(Sheet1!Q34=temp!Q34,"",1/Sheet1!Q34-1/temp!Q34)</f>
        <v>-1</v>
      </c>
      <c r="R34" s="47">
        <f>IF(Sheet1!R34=temp!R34,"",1/Sheet1!R34-1/temp!R34)</f>
        <v>10</v>
      </c>
      <c r="S34" s="47" t="str">
        <f>IF(Sheet1!S34=temp!S34,"",1/Sheet1!S34-1/temp!S34)</f>
        <v/>
      </c>
      <c r="T34" s="47">
        <f>IF(Sheet1!T34=temp!T34,"",1/Sheet1!T34-1/temp!T34)</f>
        <v>10</v>
      </c>
      <c r="U34" t="str">
        <f>IF(Sheet1!U34=temp!U34,"",Sheet1!U34-temp!U34)</f>
        <v/>
      </c>
      <c r="V34" t="str">
        <f>IF(Sheet1!V34=temp!V34,"",Sheet1!V34-temp!V34)</f>
        <v/>
      </c>
    </row>
    <row r="35" spans="2:22" x14ac:dyDescent="0.2">
      <c r="B35" t="str">
        <f>IF(Sheet1!B35=temp!B35,"",Sheet1!B35-temp!B35)</f>
        <v/>
      </c>
      <c r="C35" t="str">
        <f>IF(Sheet1!C35=temp!C35,"",Sheet1!C35-temp!C35)</f>
        <v/>
      </c>
      <c r="D35">
        <f>IF(Sheet1!D35=temp!D35,"",Sheet1!D35-temp!D35)</f>
        <v>3.9400000000000546</v>
      </c>
      <c r="E35" t="str">
        <f>IF(Sheet1!E35=temp!E35,"",Sheet1!E35-temp!E35)</f>
        <v/>
      </c>
      <c r="F35">
        <f>IF(Sheet1!F35=temp!F35,"",Sheet1!F35-temp!F35)</f>
        <v>2.2999999999999687E-3</v>
      </c>
      <c r="G35">
        <f>IF(Sheet1!G35=temp!G35,"",Sheet1!G35-temp!G35)</f>
        <v>-1.6999999999998128E-3</v>
      </c>
      <c r="H35">
        <f>IF(Sheet1!H35=temp!H35,"",Sheet1!H35-temp!H35)</f>
        <v>1.0999999999998789E-3</v>
      </c>
      <c r="I35">
        <f>IF(Sheet1!I35=temp!I35,"",Sheet1!I35-temp!I35)</f>
        <v>-6.9999999999992291E-4</v>
      </c>
      <c r="J35" t="str">
        <f>IF(Sheet1!J35=temp!J35,"",Sheet1!J35-temp!J35)</f>
        <v/>
      </c>
      <c r="K35" t="str">
        <f>IF(Sheet1!K35=temp!K35,"",Sheet1!K35-temp!K35)</f>
        <v/>
      </c>
      <c r="L35" t="str">
        <f>IF(Sheet1!L35=temp!L35,"",Sheet1!L35-temp!L35)</f>
        <v/>
      </c>
      <c r="M35" t="str">
        <f>IF(Sheet1!M35=temp!M35,"",Sheet1!M35-temp!M35)</f>
        <v/>
      </c>
      <c r="N35" t="str">
        <f>IF(Sheet1!N35=temp!N35,"",Sheet1!N35-temp!N35)</f>
        <v/>
      </c>
      <c r="O35" t="str">
        <f>IF(Sheet1!O35=temp!O35,"",Sheet1!O35-temp!O35)</f>
        <v/>
      </c>
      <c r="P35">
        <f>IF(Sheet1!P35=temp!P35,"",Sheet1!P35-temp!P35)</f>
        <v>1.9999999999999185E-5</v>
      </c>
      <c r="Q35" s="47" t="str">
        <f>IF(Sheet1!Q35=temp!Q35,"",1/Sheet1!Q35-1/temp!Q35)</f>
        <v/>
      </c>
      <c r="R35" s="47">
        <f>IF(Sheet1!R35=temp!R35,"",1/Sheet1!R35-1/temp!R35)</f>
        <v>9</v>
      </c>
      <c r="S35" s="47">
        <f>IF(Sheet1!S35=temp!S35,"",1/Sheet1!S35-1/temp!S35)</f>
        <v>2</v>
      </c>
      <c r="T35" s="47">
        <f>IF(Sheet1!T35=temp!T35,"",1/Sheet1!T35-1/temp!T35)</f>
        <v>10</v>
      </c>
      <c r="U35" t="str">
        <f>IF(Sheet1!U35=temp!U35,"",Sheet1!U35-temp!U35)</f>
        <v/>
      </c>
      <c r="V35" t="str">
        <f>IF(Sheet1!V35=temp!V35,"",Sheet1!V35-temp!V35)</f>
        <v/>
      </c>
    </row>
    <row r="36" spans="2:22" x14ac:dyDescent="0.2">
      <c r="B36" t="str">
        <f>IF(Sheet1!B36=temp!B36,"",Sheet1!B36-temp!B36)</f>
        <v/>
      </c>
      <c r="C36" t="str">
        <f>IF(Sheet1!C36=temp!C36,"",Sheet1!C36-temp!C36)</f>
        <v/>
      </c>
      <c r="D36">
        <f>IF(Sheet1!D36=temp!D36,"",Sheet1!D36-temp!D36)</f>
        <v>3.9400000000000546</v>
      </c>
      <c r="E36" t="str">
        <f>IF(Sheet1!E36=temp!E36,"",Sheet1!E36-temp!E36)</f>
        <v/>
      </c>
      <c r="F36">
        <f>IF(Sheet1!F36=temp!F36,"",Sheet1!F36-temp!F36)</f>
        <v>2.5999999999999357E-3</v>
      </c>
      <c r="G36">
        <f>IF(Sheet1!G36=temp!G36,"",Sheet1!G36-temp!G36)</f>
        <v>-1.7000000000000348E-3</v>
      </c>
      <c r="H36">
        <f>IF(Sheet1!H36=temp!H36,"",Sheet1!H36-temp!H36)</f>
        <v>1.1999999999998678E-3</v>
      </c>
      <c r="I36">
        <f>IF(Sheet1!I36=temp!I36,"",Sheet1!I36-temp!I36)</f>
        <v>-7.0000000000014495E-4</v>
      </c>
      <c r="J36" t="str">
        <f>IF(Sheet1!J36=temp!J36,"",Sheet1!J36-temp!J36)</f>
        <v/>
      </c>
      <c r="K36" t="str">
        <f>IF(Sheet1!K36=temp!K36,"",Sheet1!K36-temp!K36)</f>
        <v/>
      </c>
      <c r="L36" t="str">
        <f>IF(Sheet1!L36=temp!L36,"",Sheet1!L36-temp!L36)</f>
        <v/>
      </c>
      <c r="M36" t="str">
        <f>IF(Sheet1!M36=temp!M36,"",Sheet1!M36-temp!M36)</f>
        <v/>
      </c>
      <c r="N36" t="str">
        <f>IF(Sheet1!N36=temp!N36,"",Sheet1!N36-temp!N36)</f>
        <v/>
      </c>
      <c r="O36">
        <f>IF(Sheet1!O36=temp!O36,"",Sheet1!O36-temp!O36)</f>
        <v>9.9999999999995925E-6</v>
      </c>
      <c r="P36">
        <f>IF(Sheet1!P36=temp!P36,"",Sheet1!P36-temp!P36)</f>
        <v>9.9999999999995925E-6</v>
      </c>
      <c r="Q36" s="47" t="str">
        <f>IF(Sheet1!Q36=temp!Q36,"",1/Sheet1!Q36-1/temp!Q36)</f>
        <v/>
      </c>
      <c r="R36" s="47">
        <f>IF(Sheet1!R36=temp!R36,"",1/Sheet1!R36-1/temp!R36)</f>
        <v>8</v>
      </c>
      <c r="S36" s="47">
        <f>IF(Sheet1!S36=temp!S36,"",1/Sheet1!S36-1/temp!S36)</f>
        <v>3</v>
      </c>
      <c r="T36" s="47">
        <f>IF(Sheet1!T36=temp!T36,"",1/Sheet1!T36-1/temp!T36)</f>
        <v>9</v>
      </c>
      <c r="U36" t="str">
        <f>IF(Sheet1!U36=temp!U36,"",Sheet1!U36-temp!U36)</f>
        <v/>
      </c>
      <c r="V36" t="str">
        <f>IF(Sheet1!V36=temp!V36,"",Sheet1!V36-temp!V36)</f>
        <v/>
      </c>
    </row>
    <row r="37" spans="2:22" x14ac:dyDescent="0.2">
      <c r="B37" t="str">
        <f>IF(Sheet1!B37=temp!B37,"",Sheet1!B37-temp!B37)</f>
        <v/>
      </c>
      <c r="C37" t="str">
        <f>IF(Sheet1!C37=temp!C37,"",Sheet1!C37-temp!C37)</f>
        <v/>
      </c>
      <c r="D37">
        <f>IF(Sheet1!D37=temp!D37,"",Sheet1!D37-temp!D37)</f>
        <v>3.9400000000000546</v>
      </c>
      <c r="E37" t="str">
        <f>IF(Sheet1!E37=temp!E37,"",Sheet1!E37-temp!E37)</f>
        <v/>
      </c>
      <c r="F37">
        <f>IF(Sheet1!F37=temp!F37,"",Sheet1!F37-temp!F37)</f>
        <v>2.9999999999998916E-3</v>
      </c>
      <c r="G37">
        <f>IF(Sheet1!G37=temp!G37,"",Sheet1!G37-temp!G37)</f>
        <v>-1.8000000000000238E-3</v>
      </c>
      <c r="H37">
        <f>IF(Sheet1!H37=temp!H37,"",Sheet1!H37-temp!H37)</f>
        <v>1.4000000000000679E-3</v>
      </c>
      <c r="I37">
        <f>IF(Sheet1!I37=temp!I37,"",Sheet1!I37-temp!I37)</f>
        <v>-8.9999999999990088E-4</v>
      </c>
      <c r="J37" t="str">
        <f>IF(Sheet1!J37=temp!J37,"",Sheet1!J37-temp!J37)</f>
        <v/>
      </c>
      <c r="K37" t="str">
        <f>IF(Sheet1!K37=temp!K37,"",Sheet1!K37-temp!K37)</f>
        <v/>
      </c>
      <c r="L37" t="str">
        <f>IF(Sheet1!L37=temp!L37,"",Sheet1!L37-temp!L37)</f>
        <v/>
      </c>
      <c r="M37" t="str">
        <f>IF(Sheet1!M37=temp!M37,"",Sheet1!M37-temp!M37)</f>
        <v/>
      </c>
      <c r="N37" t="str">
        <f>IF(Sheet1!N37=temp!N37,"",Sheet1!N37-temp!N37)</f>
        <v/>
      </c>
      <c r="O37">
        <f>IF(Sheet1!O37=temp!O37,"",Sheet1!O37-temp!O37)</f>
        <v>9.9999999999995925E-6</v>
      </c>
      <c r="P37">
        <f>IF(Sheet1!P37=temp!P37,"",Sheet1!P37-temp!P37)</f>
        <v>9.9999999999995925E-6</v>
      </c>
      <c r="Q37" s="47">
        <f>IF(Sheet1!Q37=temp!Q37,"",1/Sheet1!Q37-1/temp!Q37)</f>
        <v>1</v>
      </c>
      <c r="R37" s="47">
        <f>IF(Sheet1!R37=temp!R37,"",1/Sheet1!R37-1/temp!R37)</f>
        <v>7</v>
      </c>
      <c r="S37" s="47">
        <f>IF(Sheet1!S37=temp!S37,"",1/Sheet1!S37-1/temp!S37)</f>
        <v>5</v>
      </c>
      <c r="T37" s="47">
        <f>IF(Sheet1!T37=temp!T37,"",1/Sheet1!T37-1/temp!T37)</f>
        <v>9</v>
      </c>
      <c r="U37" t="str">
        <f>IF(Sheet1!U37=temp!U37,"",Sheet1!U37-temp!U37)</f>
        <v/>
      </c>
      <c r="V37" t="str">
        <f>IF(Sheet1!V37=temp!V37,"",Sheet1!V37-temp!V37)</f>
        <v/>
      </c>
    </row>
    <row r="38" spans="2:22" x14ac:dyDescent="0.2">
      <c r="B38" t="str">
        <f>IF(Sheet1!B38=temp!B38,"",Sheet1!B38-temp!B38)</f>
        <v/>
      </c>
      <c r="C38" t="str">
        <f>IF(Sheet1!C38=temp!C38,"",Sheet1!C38-temp!C38)</f>
        <v/>
      </c>
      <c r="D38">
        <f>IF(Sheet1!D38=temp!D38,"",Sheet1!D38-temp!D38)</f>
        <v>3.9400000000000546</v>
      </c>
      <c r="E38" t="str">
        <f>IF(Sheet1!E38=temp!E38,"",Sheet1!E38-temp!E38)</f>
        <v/>
      </c>
      <c r="F38">
        <f>IF(Sheet1!F38=temp!F38,"",Sheet1!F38-temp!F38)</f>
        <v>3.4000000000000696E-3</v>
      </c>
      <c r="G38">
        <f>IF(Sheet1!G38=temp!G38,"",Sheet1!G38-temp!G38)</f>
        <v>-2.0999999999999908E-3</v>
      </c>
      <c r="H38">
        <f>IF(Sheet1!H38=temp!H38,"",Sheet1!H38-temp!H38)</f>
        <v>1.6000000000000458E-3</v>
      </c>
      <c r="I38">
        <f>IF(Sheet1!I38=temp!I38,"",Sheet1!I38-temp!I38)</f>
        <v>-9.9999999999988987E-4</v>
      </c>
      <c r="J38" t="str">
        <f>IF(Sheet1!J38=temp!J38,"",Sheet1!J38-temp!J38)</f>
        <v/>
      </c>
      <c r="K38" t="str">
        <f>IF(Sheet1!K38=temp!K38,"",Sheet1!K38-temp!K38)</f>
        <v/>
      </c>
      <c r="L38" t="str">
        <f>IF(Sheet1!L38=temp!L38,"",Sheet1!L38-temp!L38)</f>
        <v/>
      </c>
      <c r="M38" t="str">
        <f>IF(Sheet1!M38=temp!M38,"",Sheet1!M38-temp!M38)</f>
        <v/>
      </c>
      <c r="N38" t="str">
        <f>IF(Sheet1!N38=temp!N38,"",Sheet1!N38-temp!N38)</f>
        <v/>
      </c>
      <c r="O38">
        <f>IF(Sheet1!O38=temp!O38,"",Sheet1!O38-temp!O38)</f>
        <v>1.9999999999999185E-5</v>
      </c>
      <c r="P38">
        <f>IF(Sheet1!P38=temp!P38,"",Sheet1!P38-temp!P38)</f>
        <v>9.9999999999995925E-6</v>
      </c>
      <c r="Q38" s="47">
        <f>IF(Sheet1!Q38=temp!Q38,"",1/Sheet1!Q38-1/temp!Q38)</f>
        <v>4</v>
      </c>
      <c r="R38" s="47">
        <f>IF(Sheet1!R38=temp!R38,"",1/Sheet1!R38-1/temp!R38)</f>
        <v>6</v>
      </c>
      <c r="S38" s="47">
        <f>IF(Sheet1!S38=temp!S38,"",1/Sheet1!S38-1/temp!S38)</f>
        <v>8</v>
      </c>
      <c r="T38" s="47">
        <f>IF(Sheet1!T38=temp!T38,"",1/Sheet1!T38-1/temp!T38)</f>
        <v>8</v>
      </c>
      <c r="U38" t="str">
        <f>IF(Sheet1!U38=temp!U38,"",Sheet1!U38-temp!U38)</f>
        <v/>
      </c>
      <c r="V38" t="str">
        <f>IF(Sheet1!V38=temp!V38,"",Sheet1!V38-temp!V38)</f>
        <v/>
      </c>
    </row>
    <row r="39" spans="2:22" x14ac:dyDescent="0.2">
      <c r="B39" t="str">
        <f>IF(Sheet1!B39=temp!B39,"",Sheet1!B39-temp!B39)</f>
        <v/>
      </c>
      <c r="C39" t="str">
        <f>IF(Sheet1!C39=temp!C39,"",Sheet1!C39-temp!C39)</f>
        <v/>
      </c>
      <c r="D39">
        <f>IF(Sheet1!D39=temp!D39,"",Sheet1!D39-temp!D39)</f>
        <v>3.9400000000000546</v>
      </c>
      <c r="E39" t="str">
        <f>IF(Sheet1!E39=temp!E39,"",Sheet1!E39-temp!E39)</f>
        <v/>
      </c>
      <c r="F39">
        <f>IF(Sheet1!F39=temp!F39,"",Sheet1!F39-temp!F39)</f>
        <v>3.7000000000000366E-3</v>
      </c>
      <c r="G39">
        <f>IF(Sheet1!G39=temp!G39,"",Sheet1!G39-temp!G39)</f>
        <v>-2.4999999999999467E-3</v>
      </c>
      <c r="H39">
        <f>IF(Sheet1!H39=temp!H39,"",Sheet1!H39-temp!H39)</f>
        <v>1.7000000000000348E-3</v>
      </c>
      <c r="I39">
        <f>IF(Sheet1!I39=temp!I39,"",Sheet1!I39-temp!I39)</f>
        <v>-1.0999999999998789E-3</v>
      </c>
      <c r="J39" t="str">
        <f>IF(Sheet1!J39=temp!J39,"",Sheet1!J39-temp!J39)</f>
        <v/>
      </c>
      <c r="K39" t="str">
        <f>IF(Sheet1!K39=temp!K39,"",Sheet1!K39-temp!K39)</f>
        <v/>
      </c>
      <c r="L39">
        <f>IF(Sheet1!L39=temp!L39,"",Sheet1!L39-temp!L39)</f>
        <v>4.0000000000000036E-2</v>
      </c>
      <c r="M39" t="str">
        <f>IF(Sheet1!M39=temp!M39,"",Sheet1!M39-temp!M39)</f>
        <v/>
      </c>
      <c r="N39" t="str">
        <f>IF(Sheet1!N39=temp!N39,"",Sheet1!N39-temp!N39)</f>
        <v/>
      </c>
      <c r="O39">
        <f>IF(Sheet1!O39=temp!O39,"",Sheet1!O39-temp!O39)</f>
        <v>2.9999999999998778E-5</v>
      </c>
      <c r="P39">
        <f>IF(Sheet1!P39=temp!P39,"",Sheet1!P39-temp!P39)</f>
        <v>1.0000000000003062E-5</v>
      </c>
      <c r="Q39" s="47">
        <f>IF(Sheet1!Q39=temp!Q39,"",1/Sheet1!Q39-1/temp!Q39)</f>
        <v>6</v>
      </c>
      <c r="R39" s="47">
        <f>IF(Sheet1!R39=temp!R39,"",1/Sheet1!R39-1/temp!R39)</f>
        <v>3</v>
      </c>
      <c r="S39" s="47">
        <f>IF(Sheet1!S39=temp!S39,"",1/Sheet1!S39-1/temp!S39)</f>
        <v>10.999999999999545</v>
      </c>
      <c r="T39" s="47">
        <f>IF(Sheet1!T39=temp!T39,"",1/Sheet1!T39-1/temp!T39)</f>
        <v>7</v>
      </c>
      <c r="U39" t="str">
        <f>IF(Sheet1!U39=temp!U39,"",Sheet1!U39-temp!U39)</f>
        <v/>
      </c>
      <c r="V39" t="str">
        <f>IF(Sheet1!V39=temp!V39,"",Sheet1!V39-temp!V39)</f>
        <v/>
      </c>
    </row>
    <row r="40" spans="2:22" x14ac:dyDescent="0.2">
      <c r="B40" t="str">
        <f>IF(Sheet1!B40=temp!B40,"",Sheet1!B40-temp!B40)</f>
        <v/>
      </c>
      <c r="C40" t="str">
        <f>IF(Sheet1!C40=temp!C40,"",Sheet1!C40-temp!C40)</f>
        <v/>
      </c>
      <c r="D40">
        <f>IF(Sheet1!D40=temp!D40,"",Sheet1!D40-temp!D40)</f>
        <v>3.9400000000000546</v>
      </c>
      <c r="E40" t="str">
        <f>IF(Sheet1!E40=temp!E40,"",Sheet1!E40-temp!E40)</f>
        <v/>
      </c>
      <c r="F40">
        <f>IF(Sheet1!F40=temp!F40,"",Sheet1!F40-temp!F40)</f>
        <v>3.9000000000000146E-3</v>
      </c>
      <c r="G40">
        <f>IF(Sheet1!G40=temp!G40,"",Sheet1!G40-temp!G40)</f>
        <v>-2.6999999999999247E-3</v>
      </c>
      <c r="H40">
        <f>IF(Sheet1!H40=temp!H40,"",Sheet1!H40-temp!H40)</f>
        <v>1.6000000000000458E-3</v>
      </c>
      <c r="I40">
        <f>IF(Sheet1!I40=temp!I40,"",Sheet1!I40-temp!I40)</f>
        <v>-1.2999999999998568E-3</v>
      </c>
      <c r="J40" t="str">
        <f>IF(Sheet1!J40=temp!J40,"",Sheet1!J40-temp!J40)</f>
        <v/>
      </c>
      <c r="K40" t="str">
        <f>IF(Sheet1!K40=temp!K40,"",Sheet1!K40-temp!K40)</f>
        <v/>
      </c>
      <c r="L40">
        <f>IF(Sheet1!L40=temp!L40,"",Sheet1!L40-temp!L40)</f>
        <v>5.0000000000000044E-2</v>
      </c>
      <c r="M40" t="str">
        <f>IF(Sheet1!M40=temp!M40,"",Sheet1!M40-temp!M40)</f>
        <v/>
      </c>
      <c r="N40" t="str">
        <f>IF(Sheet1!N40=temp!N40,"",Sheet1!N40-temp!N40)</f>
        <v/>
      </c>
      <c r="O40">
        <f>IF(Sheet1!O40=temp!O40,"",Sheet1!O40-temp!O40)</f>
        <v>2.9999999999998778E-5</v>
      </c>
      <c r="P40">
        <f>IF(Sheet1!P40=temp!P40,"",Sheet1!P40-temp!P40)</f>
        <v>9.9999999999995925E-6</v>
      </c>
      <c r="Q40" s="47">
        <f>IF(Sheet1!Q40=temp!Q40,"",1/Sheet1!Q40-1/temp!Q40)</f>
        <v>9</v>
      </c>
      <c r="R40" s="47">
        <f>IF(Sheet1!R40=temp!R40,"",1/Sheet1!R40-1/temp!R40)</f>
        <v>1</v>
      </c>
      <c r="S40" s="47">
        <f>IF(Sheet1!S40=temp!S40,"",1/Sheet1!S40-1/temp!S40)</f>
        <v>16.000000000000455</v>
      </c>
      <c r="T40" s="47">
        <f>IF(Sheet1!T40=temp!T40,"",1/Sheet1!T40-1/temp!T40)</f>
        <v>7.0000000000002274</v>
      </c>
      <c r="U40" t="str">
        <f>IF(Sheet1!U40=temp!U40,"",Sheet1!U40-temp!U40)</f>
        <v/>
      </c>
      <c r="V40" t="str">
        <f>IF(Sheet1!V40=temp!V40,"",Sheet1!V40-temp!V40)</f>
        <v/>
      </c>
    </row>
    <row r="41" spans="2:22" x14ac:dyDescent="0.2">
      <c r="B41" t="str">
        <f>IF(Sheet1!B41=temp!B41,"",Sheet1!B41-temp!B41)</f>
        <v/>
      </c>
      <c r="C41" t="str">
        <f>IF(Sheet1!C41=temp!C41,"",Sheet1!C41-temp!C41)</f>
        <v/>
      </c>
      <c r="D41">
        <f>IF(Sheet1!D41=temp!D41,"",Sheet1!D41-temp!D41)</f>
        <v>3.9400000000000546</v>
      </c>
      <c r="E41" t="str">
        <f>IF(Sheet1!E41=temp!E41,"",Sheet1!E41-temp!E41)</f>
        <v/>
      </c>
      <c r="F41">
        <f>IF(Sheet1!F41=temp!F41,"",Sheet1!F41-temp!F41)</f>
        <v>3.3999999999998476E-3</v>
      </c>
      <c r="G41">
        <f>IF(Sheet1!G41=temp!G41,"",Sheet1!G41-temp!G41)</f>
        <v>-3.7000000000000366E-3</v>
      </c>
      <c r="H41">
        <f>IF(Sheet1!H41=temp!H41,"",Sheet1!H41-temp!H41)</f>
        <v>1.2000000000000899E-3</v>
      </c>
      <c r="I41">
        <f>IF(Sheet1!I41=temp!I41,"",Sheet1!I41-temp!I41)</f>
        <v>-1.9000000000000128E-3</v>
      </c>
      <c r="J41" t="str">
        <f>IF(Sheet1!J41=temp!J41,"",Sheet1!J41-temp!J41)</f>
        <v/>
      </c>
      <c r="K41">
        <f>IF(Sheet1!K41=temp!K41,"",Sheet1!K41-temp!K41)</f>
        <v>1.0000000000000009E-2</v>
      </c>
      <c r="L41">
        <f>IF(Sheet1!L41=temp!L41,"",Sheet1!L41-temp!L41)</f>
        <v>-0.10000000000000009</v>
      </c>
      <c r="M41" t="str">
        <f>IF(Sheet1!M41=temp!M41,"",Sheet1!M41-temp!M41)</f>
        <v/>
      </c>
      <c r="N41" t="str">
        <f>IF(Sheet1!N41=temp!N41,"",Sheet1!N41-temp!N41)</f>
        <v/>
      </c>
      <c r="O41">
        <f>IF(Sheet1!O41=temp!O41,"",Sheet1!O41-temp!O41)</f>
        <v>3.999999999999837E-5</v>
      </c>
      <c r="P41">
        <f>IF(Sheet1!P41=temp!P41,"",Sheet1!P41-temp!P41)</f>
        <v>9.9999999999995925E-6</v>
      </c>
      <c r="Q41" s="47">
        <f>IF(Sheet1!Q41=temp!Q41,"",1/Sheet1!Q41-1/temp!Q41)</f>
        <v>12.000000000000455</v>
      </c>
      <c r="R41" s="47">
        <f>IF(Sheet1!R41=temp!R41,"",1/Sheet1!R41-1/temp!R41)</f>
        <v>-2.9999999999995453</v>
      </c>
      <c r="S41" s="47">
        <f>IF(Sheet1!S41=temp!S41,"",1/Sheet1!S41-1/temp!S41)</f>
        <v>19.999999999999545</v>
      </c>
      <c r="T41" s="47">
        <f>IF(Sheet1!T41=temp!T41,"",1/Sheet1!T41-1/temp!T41)</f>
        <v>-46</v>
      </c>
      <c r="U41" t="str">
        <f>IF(Sheet1!U41=temp!U41,"",Sheet1!U41-temp!U41)</f>
        <v/>
      </c>
      <c r="V41" t="str">
        <f>IF(Sheet1!V41=temp!V41,"",Sheet1!V41-temp!V41)</f>
        <v/>
      </c>
    </row>
    <row r="42" spans="2:22" x14ac:dyDescent="0.2">
      <c r="B42" t="str">
        <f>IF(Sheet1!B42=temp!B42,"",Sheet1!B42-temp!B42)</f>
        <v/>
      </c>
      <c r="C42" t="str">
        <f>IF(Sheet1!C42=temp!C42,"",Sheet1!C42-temp!C42)</f>
        <v/>
      </c>
      <c r="D42">
        <f>IF(Sheet1!D42=temp!D42,"",Sheet1!D42-temp!D42)</f>
        <v>3.9400000000000546</v>
      </c>
      <c r="E42" t="str">
        <f>IF(Sheet1!E42=temp!E42,"",Sheet1!E42-temp!E42)</f>
        <v/>
      </c>
      <c r="F42">
        <f>IF(Sheet1!F42=temp!F42,"",Sheet1!F42-temp!F42)</f>
        <v>-4.9999999999994493E-4</v>
      </c>
      <c r="G42">
        <f>IF(Sheet1!G42=temp!G42,"",Sheet1!G42-temp!G42)</f>
        <v>-8.0000000000013394E-4</v>
      </c>
      <c r="H42">
        <f>IF(Sheet1!H42=temp!H42,"",Sheet1!H42-temp!H42)</f>
        <v>-1.7000000000000348E-3</v>
      </c>
      <c r="I42">
        <f>IF(Sheet1!I42=temp!I42,"",Sheet1!I42-temp!I42)</f>
        <v>-6.9999999999992291E-4</v>
      </c>
      <c r="J42" t="str">
        <f>IF(Sheet1!J42=temp!J42,"",Sheet1!J42-temp!J42)</f>
        <v/>
      </c>
      <c r="K42">
        <f>IF(Sheet1!K42=temp!K42,"",Sheet1!K42-temp!K42)</f>
        <v>-1.0000000000000009E-2</v>
      </c>
      <c r="L42">
        <f>IF(Sheet1!L42=temp!L42,"",Sheet1!L42-temp!L42)</f>
        <v>4.9999999999999933E-2</v>
      </c>
      <c r="M42" t="str">
        <f>IF(Sheet1!M42=temp!M42,"",Sheet1!M42-temp!M42)</f>
        <v/>
      </c>
      <c r="N42" t="str">
        <f>IF(Sheet1!N42=temp!N42,"",Sheet1!N42-temp!N42)</f>
        <v/>
      </c>
      <c r="O42">
        <f>IF(Sheet1!O42=temp!O42,"",Sheet1!O42-temp!O42)</f>
        <v>4.000000000000184E-5</v>
      </c>
      <c r="P42">
        <f>IF(Sheet1!P42=temp!P42,"",Sheet1!P42-temp!P42)</f>
        <v>9.9999999999995925E-6</v>
      </c>
      <c r="Q42" s="47">
        <f>IF(Sheet1!Q42=temp!Q42,"",1/Sheet1!Q42-1/temp!Q42)</f>
        <v>8.9999999999995453</v>
      </c>
      <c r="R42" s="47">
        <f>IF(Sheet1!R42=temp!R42,"",1/Sheet1!R42-1/temp!R42)</f>
        <v>-6</v>
      </c>
      <c r="S42" s="47">
        <f>IF(Sheet1!S42=temp!S42,"",1/Sheet1!S42-1/temp!S42)</f>
        <v>15</v>
      </c>
      <c r="T42" s="47">
        <f>IF(Sheet1!T42=temp!T42,"",1/Sheet1!T42-1/temp!T42)</f>
        <v>-62</v>
      </c>
      <c r="U42" t="str">
        <f>IF(Sheet1!U42=temp!U42,"",Sheet1!U42-temp!U42)</f>
        <v/>
      </c>
      <c r="V42" t="str">
        <f>IF(Sheet1!V42=temp!V42,"",Sheet1!V42-temp!V42)</f>
        <v/>
      </c>
    </row>
    <row r="43" spans="2:22" x14ac:dyDescent="0.2">
      <c r="B43" t="str">
        <f>IF(Sheet1!B43=temp!B43,"",Sheet1!B43-temp!B43)</f>
        <v/>
      </c>
      <c r="C43" t="str">
        <f>IF(Sheet1!C43=temp!C43,"",Sheet1!C43-temp!C43)</f>
        <v/>
      </c>
      <c r="D43" t="str">
        <f>IF(Sheet1!D43=temp!D43,"",Sheet1!D43-temp!D43)</f>
        <v/>
      </c>
      <c r="E43" t="str">
        <f>IF(Sheet1!E43=temp!E43,"",Sheet1!E43-temp!E43)</f>
        <v/>
      </c>
      <c r="F43">
        <f>IF(Sheet1!F43=temp!F43,"",Sheet1!F43-temp!F43)</f>
        <v>-9.100000000000108E-3</v>
      </c>
      <c r="G43">
        <f>IF(Sheet1!G43=temp!G43,"",Sheet1!G43-temp!G43)</f>
        <v>1.5000000000000568E-3</v>
      </c>
      <c r="H43">
        <f>IF(Sheet1!H43=temp!H43,"",Sheet1!H43-temp!H43)</f>
        <v>-1.4699999999999935E-2</v>
      </c>
      <c r="I43">
        <f>IF(Sheet1!I43=temp!I43,"",Sheet1!I43-temp!I43)</f>
        <v>2.3999999999999577E-3</v>
      </c>
      <c r="J43" t="str">
        <f>IF(Sheet1!J43=temp!J43,"",Sheet1!J43-temp!J43)</f>
        <v/>
      </c>
      <c r="K43">
        <f>IF(Sheet1!K43=temp!K43,"",Sheet1!K43-temp!K43)</f>
        <v>-1.0000000000000009E-2</v>
      </c>
      <c r="L43">
        <f>IF(Sheet1!L43=temp!L43,"",Sheet1!L43-temp!L43)</f>
        <v>-5.0000000000000044E-2</v>
      </c>
      <c r="M43" t="str">
        <f>IF(Sheet1!M43=temp!M43,"",Sheet1!M43-temp!M43)</f>
        <v/>
      </c>
      <c r="N43" t="str">
        <f>IF(Sheet1!N43=temp!N43,"",Sheet1!N43-temp!N43)</f>
        <v/>
      </c>
      <c r="O43">
        <f>IF(Sheet1!O43=temp!O43,"",Sheet1!O43-temp!O43)</f>
        <v>3.999999999999837E-5</v>
      </c>
      <c r="P43">
        <f>IF(Sheet1!P43=temp!P43,"",Sheet1!P43-temp!P43)</f>
        <v>9.9999999999995925E-6</v>
      </c>
      <c r="Q43" s="47">
        <f>IF(Sheet1!Q43=temp!Q43,"",1/Sheet1!Q43-1/temp!Q43)</f>
        <v>-18</v>
      </c>
      <c r="R43" s="47">
        <f>IF(Sheet1!R43=temp!R43,"",1/Sheet1!R43-1/temp!R43)</f>
        <v>1</v>
      </c>
      <c r="S43" s="47">
        <f>IF(Sheet1!S43=temp!S43,"",1/Sheet1!S43-1/temp!S43)</f>
        <v>-17</v>
      </c>
      <c r="T43" s="47">
        <f>IF(Sheet1!T43=temp!T43,"",1/Sheet1!T43-1/temp!T43)</f>
        <v>12.000000000000909</v>
      </c>
      <c r="U43" t="str">
        <f>IF(Sheet1!U43=temp!U43,"",Sheet1!U43-temp!U43)</f>
        <v/>
      </c>
      <c r="V43" t="str">
        <f>IF(Sheet1!V43=temp!V43,"",Sheet1!V43-temp!V43)</f>
        <v/>
      </c>
    </row>
    <row r="44" spans="2:22" x14ac:dyDescent="0.2">
      <c r="B44" t="str">
        <f>IF(Sheet1!B44=temp!B44,"",Sheet1!B44-temp!B44)</f>
        <v/>
      </c>
      <c r="C44" t="str">
        <f>IF(Sheet1!C44=temp!C44,"",Sheet1!C44-temp!C44)</f>
        <v/>
      </c>
      <c r="D44" t="str">
        <f>IF(Sheet1!D44=temp!D44,"",Sheet1!D44-temp!D44)</f>
        <v/>
      </c>
      <c r="E44" t="str">
        <f>IF(Sheet1!E44=temp!E44,"",Sheet1!E44-temp!E44)</f>
        <v/>
      </c>
      <c r="F44">
        <f>IF(Sheet1!F44=temp!F44,"",Sheet1!F44-temp!F44)</f>
        <v>-6.4899999999999736E-2</v>
      </c>
      <c r="G44">
        <f>IF(Sheet1!G44=temp!G44,"",Sheet1!G44-temp!G44)</f>
        <v>-5.9999999999997833E-3</v>
      </c>
      <c r="H44">
        <f>IF(Sheet1!H44=temp!H44,"",Sheet1!H44-temp!H44)</f>
        <v>-1.4599999999999724E-2</v>
      </c>
      <c r="I44">
        <f>IF(Sheet1!I44=temp!I44,"",Sheet1!I44-temp!I44)</f>
        <v>-6.4000000000001833E-3</v>
      </c>
      <c r="J44" t="str">
        <f>IF(Sheet1!J44=temp!J44,"",Sheet1!J44-temp!J44)</f>
        <v/>
      </c>
      <c r="K44" t="str">
        <f>IF(Sheet1!K44=temp!K44,"",Sheet1!K44-temp!K44)</f>
        <v/>
      </c>
      <c r="L44">
        <f>IF(Sheet1!L44=temp!L44,"",Sheet1!L44-temp!L44)</f>
        <v>-1.0000000000000009E-2</v>
      </c>
      <c r="M44" t="str">
        <f>IF(Sheet1!M44=temp!M44,"",Sheet1!M44-temp!M44)</f>
        <v/>
      </c>
      <c r="N44" t="str">
        <f>IF(Sheet1!N44=temp!N44,"",Sheet1!N44-temp!N44)</f>
        <v/>
      </c>
      <c r="O44">
        <f>IF(Sheet1!O44=temp!O44,"",Sheet1!O44-temp!O44)</f>
        <v>5.0000000000001432E-5</v>
      </c>
      <c r="P44">
        <f>IF(Sheet1!P44=temp!P44,"",Sheet1!P44-temp!P44)</f>
        <v>9.9999999999995925E-6</v>
      </c>
      <c r="Q44" s="47" t="str">
        <f>IF(Sheet1!Q44=temp!Q44,"",1/Sheet1!Q44-1/temp!Q44)</f>
        <v/>
      </c>
      <c r="R44" s="47" t="str">
        <f>IF(Sheet1!R44=temp!R44,"",1/Sheet1!R44-1/temp!R44)</f>
        <v/>
      </c>
      <c r="S44" s="47" t="str">
        <f>IF(Sheet1!S44=temp!S44,"",1/Sheet1!S44-1/temp!S44)</f>
        <v/>
      </c>
      <c r="T44" s="47">
        <f>IF(Sheet1!T44=temp!T44,"",1/Sheet1!T44-1/temp!T44)</f>
        <v>5.999999999998181</v>
      </c>
      <c r="U44" t="str">
        <f>IF(Sheet1!U44=temp!U44,"",Sheet1!U44-temp!U44)</f>
        <v/>
      </c>
      <c r="V44" t="str">
        <f>IF(Sheet1!V44=temp!V44,"",Sheet1!V44-temp!V44)</f>
        <v/>
      </c>
    </row>
    <row r="45" spans="2:22" x14ac:dyDescent="0.2">
      <c r="B45" t="str">
        <f>IF(Sheet1!B45=temp!B45,"",Sheet1!B45-temp!B45)</f>
        <v/>
      </c>
      <c r="C45" t="str">
        <f>IF(Sheet1!C45=temp!C45,"",Sheet1!C45-temp!C45)</f>
        <v/>
      </c>
      <c r="D45" t="str">
        <f>IF(Sheet1!D45=temp!D45,"",Sheet1!D45-temp!D45)</f>
        <v/>
      </c>
      <c r="E45" t="str">
        <f>IF(Sheet1!E45=temp!E45,"",Sheet1!E45-temp!E45)</f>
        <v/>
      </c>
      <c r="F45">
        <f>IF(Sheet1!F45=temp!F45,"",Sheet1!F45-temp!F45)</f>
        <v>4.3999999999999595E-3</v>
      </c>
      <c r="G45">
        <f>IF(Sheet1!G45=temp!G45,"",Sheet1!G45-temp!G45)</f>
        <v>3.9999999999995595E-4</v>
      </c>
      <c r="H45">
        <f>IF(Sheet1!H45=temp!H45,"",Sheet1!H45-temp!H45)</f>
        <v>1.7000000000000348E-3</v>
      </c>
      <c r="I45">
        <f>IF(Sheet1!I45=temp!I45,"",Sheet1!I45-temp!I45)</f>
        <v>1.9999999999997797E-4</v>
      </c>
      <c r="J45" t="str">
        <f>IF(Sheet1!J45=temp!J45,"",Sheet1!J45-temp!J45)</f>
        <v/>
      </c>
      <c r="K45" t="str">
        <f>IF(Sheet1!K45=temp!K45,"",Sheet1!K45-temp!K45)</f>
        <v/>
      </c>
      <c r="L45" t="str">
        <f>IF(Sheet1!L45=temp!L45,"",Sheet1!L45-temp!L45)</f>
        <v/>
      </c>
      <c r="M45" t="str">
        <f>IF(Sheet1!M45=temp!M45,"",Sheet1!M45-temp!M45)</f>
        <v/>
      </c>
      <c r="N45" t="str">
        <f>IF(Sheet1!N45=temp!N45,"",Sheet1!N45-temp!N45)</f>
        <v/>
      </c>
      <c r="O45">
        <f>IF(Sheet1!O45=temp!O45,"",Sheet1!O45-temp!O45)</f>
        <v>5.999999999999929E-5</v>
      </c>
      <c r="P45">
        <f>IF(Sheet1!P45=temp!P45,"",Sheet1!P45-temp!P45)</f>
        <v>9.9999999999995925E-6</v>
      </c>
      <c r="Q45" s="47" t="str">
        <f>IF(Sheet1!Q45=temp!Q45,"",1/Sheet1!Q45-1/temp!Q45)</f>
        <v/>
      </c>
      <c r="R45" s="47" t="str">
        <f>IF(Sheet1!R45=temp!R45,"",1/Sheet1!R45-1/temp!R45)</f>
        <v/>
      </c>
      <c r="S45" s="47" t="str">
        <f>IF(Sheet1!S45=temp!S45,"",1/Sheet1!S45-1/temp!S45)</f>
        <v/>
      </c>
      <c r="T45" s="47" t="str">
        <f>IF(Sheet1!T45=temp!T45,"",1/Sheet1!T45-1/temp!T45)</f>
        <v/>
      </c>
      <c r="U45" t="str">
        <f>IF(Sheet1!U45=temp!U45,"",Sheet1!U45-temp!U45)</f>
        <v/>
      </c>
      <c r="V45" t="str">
        <f>IF(Sheet1!V45=temp!V45,"",Sheet1!V45-temp!V45)</f>
        <v/>
      </c>
    </row>
    <row r="46" spans="2:22" x14ac:dyDescent="0.2">
      <c r="B46" t="str">
        <f>IF(Sheet1!B46=temp!B46,"",Sheet1!B46-temp!B46)</f>
        <v/>
      </c>
      <c r="C46" t="str">
        <f>IF(Sheet1!C46=temp!C46,"",Sheet1!C46-temp!C46)</f>
        <v/>
      </c>
      <c r="D46" t="str">
        <f>IF(Sheet1!D46=temp!D46,"",Sheet1!D46-temp!D46)</f>
        <v/>
      </c>
      <c r="E46" t="str">
        <f>IF(Sheet1!E46=temp!E46,"",Sheet1!E46-temp!E46)</f>
        <v/>
      </c>
      <c r="F46" t="str">
        <f>IF(Sheet1!F46=temp!F46,"",Sheet1!F46-temp!F46)</f>
        <v/>
      </c>
      <c r="G46" t="str">
        <f>IF(Sheet1!G46=temp!G46,"",Sheet1!G46-temp!G46)</f>
        <v/>
      </c>
      <c r="H46" t="str">
        <f>IF(Sheet1!H46=temp!H46,"",Sheet1!H46-temp!H46)</f>
        <v/>
      </c>
      <c r="I46" t="str">
        <f>IF(Sheet1!I46=temp!I46,"",Sheet1!I46-temp!I46)</f>
        <v/>
      </c>
      <c r="J46" t="str">
        <f>IF(Sheet1!J46=temp!J46,"",Sheet1!J46-temp!J46)</f>
        <v/>
      </c>
      <c r="K46">
        <f>IF(Sheet1!K46=temp!K46,"",Sheet1!K46-temp!K46)</f>
        <v>1.0000000000000009E-2</v>
      </c>
      <c r="L46">
        <f>IF(Sheet1!L46=temp!L46,"",Sheet1!L46-temp!L46)</f>
        <v>3.0000000000000027E-2</v>
      </c>
      <c r="M46" t="str">
        <f>IF(Sheet1!M46=temp!M46,"",Sheet1!M46-temp!M46)</f>
        <v/>
      </c>
      <c r="N46" t="str">
        <f>IF(Sheet1!N46=temp!N46,"",Sheet1!N46-temp!N46)</f>
        <v/>
      </c>
      <c r="O46">
        <f>IF(Sheet1!O46=temp!O46,"",Sheet1!O46-temp!O46)</f>
        <v>5.999999999999929E-5</v>
      </c>
      <c r="P46">
        <f>IF(Sheet1!P46=temp!P46,"",Sheet1!P46-temp!P46)</f>
        <v>9.9999999999995925E-6</v>
      </c>
      <c r="Q46" s="47" t="str">
        <f>IF(Sheet1!Q46=temp!Q46,"",1/Sheet1!Q46-1/temp!Q46)</f>
        <v/>
      </c>
      <c r="R46" s="47" t="str">
        <f>IF(Sheet1!R46=temp!R46,"",1/Sheet1!R46-1/temp!R46)</f>
        <v/>
      </c>
      <c r="S46" s="47" t="str">
        <f>IF(Sheet1!S46=temp!S46,"",1/Sheet1!S46-1/temp!S46)</f>
        <v/>
      </c>
      <c r="T46" s="47" t="str">
        <f>IF(Sheet1!T46=temp!T46,"",1/Sheet1!T46-1/temp!T46)</f>
        <v/>
      </c>
      <c r="U46" t="str">
        <f>IF(Sheet1!U46=temp!U46,"",Sheet1!U46-temp!U46)</f>
        <v/>
      </c>
      <c r="V46" t="str">
        <f>IF(Sheet1!V46=temp!V46,"",Sheet1!V46-temp!V46)</f>
        <v/>
      </c>
    </row>
    <row r="47" spans="2:22" x14ac:dyDescent="0.2">
      <c r="B47" t="str">
        <f>IF(Sheet1!B47=temp!B47,"",Sheet1!B47-temp!B47)</f>
        <v/>
      </c>
      <c r="C47" t="str">
        <f>IF(Sheet1!C47=temp!C47,"",Sheet1!C47-temp!C47)</f>
        <v/>
      </c>
      <c r="D47" t="str">
        <f>IF(Sheet1!D47=temp!D47,"",Sheet1!D47-temp!D47)</f>
        <v/>
      </c>
      <c r="E47" t="str">
        <f>IF(Sheet1!E47=temp!E47,"",Sheet1!E47-temp!E47)</f>
        <v/>
      </c>
      <c r="F47">
        <f>IF(Sheet1!F47=temp!F47,"",Sheet1!F47-temp!F47)</f>
        <v>-6.4899999999999736E-2</v>
      </c>
      <c r="G47">
        <f>IF(Sheet1!G47=temp!G47,"",Sheet1!G47-temp!G47)</f>
        <v>9.2999999999996419E-3</v>
      </c>
      <c r="H47">
        <f>IF(Sheet1!H47=temp!H47,"",Sheet1!H47-temp!H47)</f>
        <v>-1.4599999999999724E-2</v>
      </c>
      <c r="I47">
        <f>IF(Sheet1!I47=temp!I47,"",Sheet1!I47-temp!I47)</f>
        <v>5.4999999999996163E-3</v>
      </c>
      <c r="J47" t="str">
        <f>IF(Sheet1!J47=temp!J47,"",Sheet1!J47-temp!J47)</f>
        <v/>
      </c>
      <c r="K47" t="str">
        <f>IF(Sheet1!K47=temp!K47,"",Sheet1!K47-temp!K47)</f>
        <v/>
      </c>
      <c r="L47" t="str">
        <f>IF(Sheet1!L47=temp!L47,"",Sheet1!L47-temp!L47)</f>
        <v/>
      </c>
      <c r="M47" t="str">
        <f>IF(Sheet1!M47=temp!M47,"",Sheet1!M47-temp!M47)</f>
        <v/>
      </c>
      <c r="N47" t="str">
        <f>IF(Sheet1!N47=temp!N47,"",Sheet1!N47-temp!N47)</f>
        <v/>
      </c>
      <c r="O47">
        <f>IF(Sheet1!O47=temp!O47,"",Sheet1!O47-temp!O47)</f>
        <v>-3.999999999999837E-5</v>
      </c>
      <c r="P47">
        <f>IF(Sheet1!P47=temp!P47,"",Sheet1!P47-temp!P47)</f>
        <v>-1.8999999999999573E-4</v>
      </c>
      <c r="Q47" s="47">
        <f>IF(Sheet1!Q47=temp!Q47,"",1/Sheet1!Q47-1/temp!Q47)</f>
        <v>-3</v>
      </c>
      <c r="R47" s="47">
        <f>IF(Sheet1!R47=temp!R47,"",1/Sheet1!R47-1/temp!R47)</f>
        <v>13</v>
      </c>
      <c r="S47" s="47" t="str">
        <f>IF(Sheet1!S47=temp!S47,"",1/Sheet1!S47-1/temp!S47)</f>
        <v/>
      </c>
      <c r="T47" s="47">
        <f>IF(Sheet1!T47=temp!T47,"",1/Sheet1!T47-1/temp!T47)</f>
        <v>9</v>
      </c>
      <c r="U47" t="str">
        <f>IF(Sheet1!U47=temp!U47,"",Sheet1!U47-temp!U47)</f>
        <v/>
      </c>
      <c r="V47" t="str">
        <f>IF(Sheet1!V47=temp!V47,"",Sheet1!V47-temp!V47)</f>
        <v/>
      </c>
    </row>
    <row r="48" spans="2:22" x14ac:dyDescent="0.2">
      <c r="B48" t="str">
        <f>IF(Sheet1!B48=temp!B48,"",Sheet1!B48-temp!B48)</f>
        <v/>
      </c>
      <c r="C48" t="str">
        <f>IF(Sheet1!C48=temp!C48,"",Sheet1!C48-temp!C48)</f>
        <v/>
      </c>
      <c r="D48" t="str">
        <f>IF(Sheet1!D48=temp!D48,"",Sheet1!D48-temp!D48)</f>
        <v/>
      </c>
      <c r="E48" t="str">
        <f>IF(Sheet1!E48=temp!E48,"",Sheet1!E48-temp!E48)</f>
        <v/>
      </c>
      <c r="F48" t="str">
        <f>IF(Sheet1!F48=temp!F48,"",Sheet1!F48-temp!F48)</f>
        <v/>
      </c>
      <c r="G48" t="str">
        <f>IF(Sheet1!G48=temp!G48,"",Sheet1!G48-temp!G48)</f>
        <v/>
      </c>
      <c r="H48" t="str">
        <f>IF(Sheet1!H48=temp!H48,"",Sheet1!H48-temp!H48)</f>
        <v/>
      </c>
      <c r="I48" t="str">
        <f>IF(Sheet1!I48=temp!I48,"",Sheet1!I48-temp!I48)</f>
        <v/>
      </c>
      <c r="J48" t="str">
        <f>IF(Sheet1!J48=temp!J48,"",Sheet1!J48-temp!J48)</f>
        <v/>
      </c>
      <c r="K48" t="str">
        <f>IF(Sheet1!K48=temp!K48,"",Sheet1!K48-temp!K48)</f>
        <v/>
      </c>
      <c r="L48" t="str">
        <f>IF(Sheet1!L48=temp!L48,"",Sheet1!L48-temp!L48)</f>
        <v/>
      </c>
      <c r="M48" t="str">
        <f>IF(Sheet1!M48=temp!M48,"",Sheet1!M48-temp!M48)</f>
        <v/>
      </c>
      <c r="N48" t="str">
        <f>IF(Sheet1!N48=temp!N48,"",Sheet1!N48-temp!N48)</f>
        <v/>
      </c>
      <c r="O48" t="str">
        <f>IF(Sheet1!O48=temp!O48,"",Sheet1!O48-temp!O48)</f>
        <v/>
      </c>
      <c r="P48" t="str">
        <f>IF(Sheet1!P48=temp!P48,"",Sheet1!P48-temp!P48)</f>
        <v/>
      </c>
      <c r="Q48" s="47" t="str">
        <f>IF(Sheet1!Q48=temp!Q48,"",1/Sheet1!Q48-1/temp!Q48)</f>
        <v/>
      </c>
      <c r="R48" s="47" t="str">
        <f>IF(Sheet1!R48=temp!R48,"",1/Sheet1!R48-1/temp!R48)</f>
        <v/>
      </c>
      <c r="S48" s="47" t="str">
        <f>IF(Sheet1!S48=temp!S48,"",1/Sheet1!S48-1/temp!S48)</f>
        <v/>
      </c>
      <c r="T48" s="47" t="str">
        <f>IF(Sheet1!T48=temp!T48,"",1/Sheet1!T48-1/temp!T48)</f>
        <v/>
      </c>
      <c r="U48" t="str">
        <f>IF(Sheet1!U48=temp!U48,"",Sheet1!U48-temp!U48)</f>
        <v/>
      </c>
      <c r="V48" t="str">
        <f>IF(Sheet1!V48=temp!V48,"",Sheet1!V48-temp!V48)</f>
        <v/>
      </c>
    </row>
    <row r="49" spans="2:22" x14ac:dyDescent="0.2">
      <c r="B49" t="str">
        <f>IF(Sheet1!B49=temp!B49,"",Sheet1!B49-temp!B49)</f>
        <v/>
      </c>
      <c r="C49" t="str">
        <f>IF(Sheet1!C49=temp!C49,"",Sheet1!C49-temp!C49)</f>
        <v/>
      </c>
      <c r="D49" t="str">
        <f>IF(Sheet1!D49=temp!D49,"",Sheet1!D49-temp!D49)</f>
        <v/>
      </c>
      <c r="E49" t="str">
        <f>IF(Sheet1!E49=temp!E49,"",Sheet1!E49-temp!E49)</f>
        <v/>
      </c>
      <c r="F49" t="str">
        <f>IF(Sheet1!F49=temp!F49,"",Sheet1!F49-temp!F49)</f>
        <v/>
      </c>
      <c r="G49" t="str">
        <f>IF(Sheet1!G49=temp!G49,"",Sheet1!G49-temp!G49)</f>
        <v/>
      </c>
      <c r="H49" t="str">
        <f>IF(Sheet1!H49=temp!H49,"",Sheet1!H49-temp!H49)</f>
        <v/>
      </c>
      <c r="I49" t="str">
        <f>IF(Sheet1!I49=temp!I49,"",Sheet1!I49-temp!I49)</f>
        <v/>
      </c>
      <c r="J49" t="str">
        <f>IF(Sheet1!J49=temp!J49,"",Sheet1!J49-temp!J49)</f>
        <v/>
      </c>
      <c r="K49" t="str">
        <f>IF(Sheet1!K49=temp!K49,"",Sheet1!K49-temp!K49)</f>
        <v/>
      </c>
      <c r="L49" t="str">
        <f>IF(Sheet1!L49=temp!L49,"",Sheet1!L49-temp!L49)</f>
        <v/>
      </c>
      <c r="M49" t="str">
        <f>IF(Sheet1!M49=temp!M49,"",Sheet1!M49-temp!M49)</f>
        <v/>
      </c>
      <c r="N49" t="str">
        <f>IF(Sheet1!N49=temp!N49,"",Sheet1!N49-temp!N49)</f>
        <v/>
      </c>
      <c r="O49" t="str">
        <f>IF(Sheet1!O49=temp!O49,"",Sheet1!O49-temp!O49)</f>
        <v/>
      </c>
      <c r="P49" t="str">
        <f>IF(Sheet1!P49=temp!P49,"",Sheet1!P49-temp!P49)</f>
        <v/>
      </c>
      <c r="Q49" s="47" t="str">
        <f>IF(Sheet1!Q49=temp!Q49,"",1/Sheet1!Q49-1/temp!Q49)</f>
        <v/>
      </c>
      <c r="R49" s="47" t="str">
        <f>IF(Sheet1!R49=temp!R49,"",1/Sheet1!R49-1/temp!R49)</f>
        <v/>
      </c>
      <c r="S49" s="47" t="str">
        <f>IF(Sheet1!S49=temp!S49,"",1/Sheet1!S49-1/temp!S49)</f>
        <v/>
      </c>
      <c r="T49" s="47" t="str">
        <f>IF(Sheet1!T49=temp!T49,"",1/Sheet1!T49-1/temp!T49)</f>
        <v/>
      </c>
      <c r="U49" t="str">
        <f>IF(Sheet1!U49=temp!U49,"",Sheet1!U49-temp!U49)</f>
        <v/>
      </c>
      <c r="V49" t="str">
        <f>IF(Sheet1!V49=temp!V49,"",Sheet1!V49-temp!V49)</f>
        <v/>
      </c>
    </row>
    <row r="50" spans="2:22" x14ac:dyDescent="0.2">
      <c r="B50" t="str">
        <f>IF(Sheet1!B50=temp!B50,"",Sheet1!B50-temp!B50)</f>
        <v/>
      </c>
      <c r="C50" t="str">
        <f>IF(Sheet1!C50=temp!C50,"",Sheet1!C50-temp!C50)</f>
        <v/>
      </c>
      <c r="D50" t="str">
        <f>IF(Sheet1!D50=temp!D50,"",Sheet1!D50-temp!D50)</f>
        <v/>
      </c>
      <c r="E50" t="str">
        <f>IF(Sheet1!E50=temp!E50,"",Sheet1!E50-temp!E50)</f>
        <v/>
      </c>
      <c r="F50" t="str">
        <f>IF(Sheet1!F50=temp!F50,"",Sheet1!F50-temp!F50)</f>
        <v/>
      </c>
      <c r="G50" t="str">
        <f>IF(Sheet1!G50=temp!G50,"",Sheet1!G50-temp!G50)</f>
        <v/>
      </c>
      <c r="H50" t="str">
        <f>IF(Sheet1!H50=temp!H50,"",Sheet1!H50-temp!H50)</f>
        <v/>
      </c>
      <c r="I50" t="str">
        <f>IF(Sheet1!I50=temp!I50,"",Sheet1!I50-temp!I50)</f>
        <v/>
      </c>
      <c r="J50" t="str">
        <f>IF(Sheet1!J50=temp!J50,"",Sheet1!J50-temp!J50)</f>
        <v/>
      </c>
      <c r="K50" t="str">
        <f>IF(Sheet1!K50=temp!K50,"",Sheet1!K50-temp!K50)</f>
        <v/>
      </c>
      <c r="L50" t="str">
        <f>IF(Sheet1!L50=temp!L50,"",Sheet1!L50-temp!L50)</f>
        <v/>
      </c>
      <c r="M50" t="str">
        <f>IF(Sheet1!M50=temp!M50,"",Sheet1!M50-temp!M50)</f>
        <v/>
      </c>
      <c r="N50" t="str">
        <f>IF(Sheet1!N50=temp!N50,"",Sheet1!N50-temp!N50)</f>
        <v/>
      </c>
      <c r="O50" t="str">
        <f>IF(Sheet1!O50=temp!O50,"",Sheet1!O50-temp!O50)</f>
        <v/>
      </c>
      <c r="P50" t="str">
        <f>IF(Sheet1!P50=temp!P50,"",Sheet1!P50-temp!P50)</f>
        <v/>
      </c>
      <c r="Q50" s="47" t="str">
        <f>IF(Sheet1!Q50=temp!Q50,"",1/Sheet1!Q50-1/temp!Q50)</f>
        <v/>
      </c>
      <c r="R50" s="47" t="str">
        <f>IF(Sheet1!R50=temp!R50,"",1/Sheet1!R50-1/temp!R50)</f>
        <v/>
      </c>
      <c r="S50" s="47" t="str">
        <f>IF(Sheet1!S50=temp!S50,"",1/Sheet1!S50-1/temp!S50)</f>
        <v/>
      </c>
      <c r="T50" s="47" t="str">
        <f>IF(Sheet1!T50=temp!T50,"",1/Sheet1!T50-1/temp!T50)</f>
        <v/>
      </c>
      <c r="U50" t="str">
        <f>IF(Sheet1!U50=temp!U50,"",Sheet1!U50-temp!U50)</f>
        <v/>
      </c>
      <c r="V50" t="str">
        <f>IF(Sheet1!V50=temp!V50,"",Sheet1!V50-temp!V50)</f>
        <v/>
      </c>
    </row>
    <row r="51" spans="2:22" x14ac:dyDescent="0.2">
      <c r="Q51" s="47" t="str">
        <f>IF(Sheet1!Q51=temp!Q51,"",1/Sheet1!Q51-1/temp!Q51)</f>
        <v/>
      </c>
      <c r="R51" s="47" t="str">
        <f>IF(Sheet1!R51=temp!R51,"",1/Sheet1!R51-1/temp!R51)</f>
        <v/>
      </c>
      <c r="S51" s="47" t="str">
        <f>IF(Sheet1!S51=temp!S51,"",1/Sheet1!S51-1/temp!S51)</f>
        <v/>
      </c>
      <c r="T51" s="47" t="str">
        <f>IF(Sheet1!T51=temp!T51,"",1/Sheet1!T51-1/temp!T51)</f>
        <v/>
      </c>
    </row>
    <row r="52" spans="2:22" x14ac:dyDescent="0.2">
      <c r="Q52" s="45" t="str">
        <f>IF(Sheet1!Q52=temp!Q52,"",1/Sheet1!Q52-1/temp!Q52)</f>
        <v/>
      </c>
      <c r="R52" s="45" t="str">
        <f>IF(Sheet1!R52=temp!R52,"",1/Sheet1!R52-1/temp!R52)</f>
        <v/>
      </c>
      <c r="S52" s="45" t="str">
        <f>IF(Sheet1!S52=temp!S52,"",1/Sheet1!S52-1/temp!S52)</f>
        <v/>
      </c>
      <c r="T52" s="45" t="str">
        <f>IF(Sheet1!T52=temp!T52,"",1/Sheet1!T52-1/temp!T52)</f>
        <v/>
      </c>
    </row>
    <row r="53" spans="2:22" x14ac:dyDescent="0.2">
      <c r="Q53" s="45" t="str">
        <f>IF(Sheet1!Q53=temp!Q53,"",1/Sheet1!Q53-1/temp!Q53)</f>
        <v/>
      </c>
      <c r="R53" s="45" t="str">
        <f>IF(Sheet1!R53=temp!R53,"",1/Sheet1!R53-1/temp!R53)</f>
        <v/>
      </c>
      <c r="S53" s="45" t="str">
        <f>IF(Sheet1!S53=temp!S53,"",1/Sheet1!S53-1/temp!S53)</f>
        <v/>
      </c>
      <c r="T53" s="45" t="str">
        <f>IF(Sheet1!T53=temp!T53,"",1/Sheet1!T53-1/temp!T53)</f>
        <v/>
      </c>
    </row>
  </sheetData>
  <protectedRanges>
    <protectedRange password="CE28" sqref="E1:W2" name="区域1"/>
  </protectedRanges>
  <mergeCells count="7">
    <mergeCell ref="E1:W1"/>
    <mergeCell ref="F2:I2"/>
    <mergeCell ref="K2:L2"/>
    <mergeCell ref="M2:N2"/>
    <mergeCell ref="O2:P2"/>
    <mergeCell ref="Q2:T2"/>
    <mergeCell ref="U2:V2"/>
  </mergeCells>
  <phoneticPr fontId="1" type="noConversion"/>
  <conditionalFormatting sqref="B7:P50 Q52:T53 U7:V50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Q7:T5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ref</vt:lpstr>
      <vt:lpstr>temp</vt:lpstr>
      <vt:lpstr>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2018-03-26T12:35:25Z</dcterms:created>
  <dcterms:modified xsi:type="dcterms:W3CDTF">2018-04-04T13:52:18Z</dcterms:modified>
</cp:coreProperties>
</file>